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BS - RRL-Komm_ReWe\RRL-Komm_ReWe_NBA\"/>
    </mc:Choice>
  </mc:AlternateContent>
  <bookViews>
    <workbookView xWindow="0" yWindow="1200" windowWidth="28800" windowHeight="12420" tabRatio="819"/>
  </bookViews>
  <sheets>
    <sheet name="BAB November" sheetId="10" r:id="rId1"/>
    <sheet name="Angebotskalkulation" sheetId="7" r:id="rId2"/>
    <sheet name="Kostenfunktion &amp; Gewinnschwelle" sheetId="11" r:id="rId3"/>
    <sheet name="Maschinenarbeitsplatz" sheetId="12" r:id="rId4"/>
    <sheet name="Kostendeckung" sheetId="14" r:id="rId5"/>
  </sheets>
  <calcPr calcId="152511"/>
</workbook>
</file>

<file path=xl/calcChain.xml><?xml version="1.0" encoding="utf-8"?>
<calcChain xmlns="http://schemas.openxmlformats.org/spreadsheetml/2006/main">
  <c r="H25" i="14" l="1"/>
  <c r="O31" i="14"/>
  <c r="M31" i="14"/>
  <c r="L31" i="14"/>
  <c r="J31" i="14"/>
  <c r="M30" i="14" l="1"/>
  <c r="L30" i="14"/>
  <c r="J30" i="14"/>
  <c r="J29" i="14"/>
  <c r="M29" i="14"/>
  <c r="H29" i="14"/>
  <c r="H30" i="14" s="1"/>
  <c r="J28" i="14"/>
  <c r="O28" i="14"/>
  <c r="O29" i="14" s="1"/>
  <c r="O30" i="14" s="1"/>
  <c r="N28" i="14"/>
  <c r="N29" i="14" s="1"/>
  <c r="N30" i="14" s="1"/>
  <c r="N31" i="14" s="1"/>
  <c r="M28" i="14"/>
  <c r="L28" i="14"/>
  <c r="L29" i="14" s="1"/>
  <c r="H28" i="14"/>
  <c r="K23" i="14"/>
  <c r="L23" i="14"/>
  <c r="J21" i="14"/>
  <c r="L21" i="14"/>
  <c r="J19" i="14"/>
  <c r="L19" i="14"/>
  <c r="J7" i="14"/>
  <c r="L7" i="14"/>
  <c r="J8" i="14"/>
  <c r="K8" i="14"/>
  <c r="J9" i="14"/>
  <c r="K9" i="14"/>
  <c r="L10" i="14"/>
  <c r="K11" i="14"/>
  <c r="L11" i="14"/>
  <c r="K12" i="14"/>
  <c r="L12" i="14"/>
  <c r="K13" i="14"/>
  <c r="L13" i="14"/>
  <c r="J14" i="14"/>
  <c r="K14" i="14"/>
  <c r="K15" i="14"/>
  <c r="L15" i="14"/>
  <c r="K16" i="14"/>
  <c r="L16" i="14"/>
  <c r="K17" i="14"/>
  <c r="L17" i="14"/>
  <c r="M7" i="14"/>
  <c r="N7" i="14"/>
  <c r="O7" i="14"/>
  <c r="M8" i="14"/>
  <c r="N8" i="14"/>
  <c r="O8" i="14"/>
  <c r="M9" i="14"/>
  <c r="N9" i="14"/>
  <c r="O9" i="14"/>
  <c r="M25" i="14"/>
  <c r="L25" i="14"/>
  <c r="J25" i="14"/>
  <c r="I23" i="14"/>
  <c r="G21" i="14"/>
  <c r="F19" i="14"/>
  <c r="O17" i="14"/>
  <c r="N17" i="14"/>
  <c r="M17" i="14"/>
  <c r="I17" i="14"/>
  <c r="H17" i="14"/>
  <c r="G17" i="14"/>
  <c r="F17" i="14"/>
  <c r="E17" i="14"/>
  <c r="D17" i="14"/>
  <c r="E16" i="14"/>
  <c r="D16" i="14"/>
  <c r="E15" i="14"/>
  <c r="D15" i="14"/>
  <c r="E14" i="14"/>
  <c r="D14" i="14"/>
  <c r="O13" i="14"/>
  <c r="N13" i="14"/>
  <c r="M13" i="14"/>
  <c r="I13" i="14"/>
  <c r="H13" i="14"/>
  <c r="G13" i="14"/>
  <c r="F13" i="14"/>
  <c r="E13" i="14"/>
  <c r="D13" i="14"/>
  <c r="O12" i="14"/>
  <c r="N12" i="14"/>
  <c r="M12" i="14"/>
  <c r="I12" i="14"/>
  <c r="H12" i="14"/>
  <c r="G12" i="14"/>
  <c r="F12" i="14"/>
  <c r="E12" i="14"/>
  <c r="D12" i="14"/>
  <c r="E11" i="14"/>
  <c r="D11" i="14"/>
  <c r="O10" i="14"/>
  <c r="N10" i="14"/>
  <c r="M10" i="14"/>
  <c r="I10" i="14"/>
  <c r="H10" i="14"/>
  <c r="G10" i="14"/>
  <c r="F10" i="14"/>
  <c r="E10" i="14"/>
  <c r="D10" i="14"/>
  <c r="I9" i="14"/>
  <c r="H9" i="14"/>
  <c r="G9" i="14"/>
  <c r="F9" i="14"/>
  <c r="E9" i="14"/>
  <c r="D9" i="14"/>
  <c r="I8" i="14"/>
  <c r="H8" i="14"/>
  <c r="G8" i="14"/>
  <c r="F8" i="14"/>
  <c r="E8" i="14"/>
  <c r="D8" i="14"/>
  <c r="I7" i="14"/>
  <c r="H7" i="14"/>
  <c r="G7" i="14"/>
  <c r="F7" i="14"/>
  <c r="E7" i="14"/>
  <c r="D7" i="14"/>
  <c r="C2" i="14"/>
  <c r="O9" i="10"/>
  <c r="O12" i="10"/>
  <c r="O13" i="10"/>
  <c r="O14" i="10"/>
  <c r="H31" i="14" l="1"/>
  <c r="D30" i="14"/>
  <c r="D12" i="7"/>
  <c r="D8" i="7"/>
  <c r="E17" i="12"/>
  <c r="E16" i="12"/>
  <c r="E15" i="12"/>
  <c r="E14" i="12"/>
  <c r="E13" i="12"/>
  <c r="E12" i="12"/>
  <c r="E11" i="12"/>
  <c r="E10" i="12"/>
  <c r="E9" i="12"/>
  <c r="E8" i="12"/>
  <c r="E7" i="12"/>
  <c r="M14" i="10" l="1"/>
  <c r="O16" i="14" s="1"/>
  <c r="L14" i="10"/>
  <c r="N16" i="14" s="1"/>
  <c r="K14" i="10"/>
  <c r="M16" i="14" s="1"/>
  <c r="J14" i="10"/>
  <c r="I14" i="10"/>
  <c r="I16" i="14" s="1"/>
  <c r="H14" i="10"/>
  <c r="H16" i="14" s="1"/>
  <c r="G14" i="10"/>
  <c r="G16" i="14" s="1"/>
  <c r="F14" i="10"/>
  <c r="M13" i="10"/>
  <c r="O15" i="14" s="1"/>
  <c r="L13" i="10"/>
  <c r="N15" i="14" s="1"/>
  <c r="K13" i="10"/>
  <c r="M15" i="14" s="1"/>
  <c r="J13" i="10"/>
  <c r="I13" i="10"/>
  <c r="I15" i="14" s="1"/>
  <c r="H13" i="10"/>
  <c r="H15" i="14" s="1"/>
  <c r="G13" i="10"/>
  <c r="G15" i="14" s="1"/>
  <c r="F13" i="10"/>
  <c r="K12" i="10"/>
  <c r="M14" i="14" s="1"/>
  <c r="L12" i="10"/>
  <c r="N14" i="14" s="1"/>
  <c r="H12" i="10"/>
  <c r="H14" i="14" s="1"/>
  <c r="M9" i="10"/>
  <c r="O11" i="14" s="1"/>
  <c r="L9" i="10"/>
  <c r="N11" i="14" s="1"/>
  <c r="K9" i="10"/>
  <c r="M11" i="14" s="1"/>
  <c r="J9" i="10"/>
  <c r="I9" i="10"/>
  <c r="I11" i="14" s="1"/>
  <c r="H9" i="10"/>
  <c r="H11" i="14" s="1"/>
  <c r="G9" i="10"/>
  <c r="G11" i="14" s="1"/>
  <c r="F9" i="10"/>
  <c r="F11" i="14" s="1"/>
  <c r="P13" i="10" l="1"/>
  <c r="F15" i="14"/>
  <c r="P14" i="10"/>
  <c r="F16" i="14"/>
  <c r="P9" i="10"/>
  <c r="I12" i="10"/>
  <c r="I14" i="14" s="1"/>
  <c r="M12" i="10"/>
  <c r="O14" i="14" s="1"/>
  <c r="F12" i="10"/>
  <c r="F14" i="14" s="1"/>
  <c r="J12" i="10"/>
  <c r="G12" i="10"/>
  <c r="G14" i="14" s="1"/>
  <c r="P12" i="10" l="1"/>
  <c r="I23" i="12"/>
  <c r="G21" i="12"/>
  <c r="F19" i="12"/>
  <c r="O17" i="12"/>
  <c r="N17" i="12"/>
  <c r="M17" i="12"/>
  <c r="I17" i="12"/>
  <c r="H17" i="12"/>
  <c r="G17" i="12"/>
  <c r="F17" i="12"/>
  <c r="O16" i="12"/>
  <c r="N16" i="12"/>
  <c r="M16" i="12"/>
  <c r="I16" i="12"/>
  <c r="H16" i="12"/>
  <c r="G16" i="12"/>
  <c r="F16" i="12"/>
  <c r="O15" i="12"/>
  <c r="N15" i="12"/>
  <c r="M15" i="12"/>
  <c r="I15" i="12"/>
  <c r="H15" i="12"/>
  <c r="G15" i="12"/>
  <c r="F15" i="12"/>
  <c r="O14" i="12"/>
  <c r="N14" i="12"/>
  <c r="M14" i="12"/>
  <c r="I14" i="12"/>
  <c r="H14" i="12"/>
  <c r="G14" i="12"/>
  <c r="F14" i="12"/>
  <c r="O13" i="12"/>
  <c r="N13" i="12"/>
  <c r="M13" i="12"/>
  <c r="I13" i="12"/>
  <c r="H13" i="12"/>
  <c r="G13" i="12"/>
  <c r="F13" i="12"/>
  <c r="O12" i="12"/>
  <c r="N12" i="12"/>
  <c r="M12" i="12"/>
  <c r="I12" i="12"/>
  <c r="H12" i="12"/>
  <c r="G12" i="12"/>
  <c r="F12" i="12"/>
  <c r="O11" i="12"/>
  <c r="N11" i="12"/>
  <c r="M11" i="12"/>
  <c r="I11" i="12"/>
  <c r="H11" i="12"/>
  <c r="G11" i="12"/>
  <c r="F11" i="12"/>
  <c r="O10" i="12"/>
  <c r="N10" i="12"/>
  <c r="M10" i="12"/>
  <c r="I10" i="12"/>
  <c r="H10" i="12"/>
  <c r="G10" i="12"/>
  <c r="F10" i="12"/>
  <c r="O9" i="12"/>
  <c r="N9" i="12"/>
  <c r="M9" i="12"/>
  <c r="I9" i="12"/>
  <c r="H9" i="12"/>
  <c r="G9" i="12"/>
  <c r="F9" i="12"/>
  <c r="O8" i="12"/>
  <c r="N8" i="12"/>
  <c r="M8" i="12"/>
  <c r="I8" i="12"/>
  <c r="H8" i="12"/>
  <c r="G8" i="12"/>
  <c r="F8" i="12"/>
  <c r="O7" i="12"/>
  <c r="N7" i="12"/>
  <c r="M7" i="12"/>
  <c r="I7" i="12"/>
  <c r="H7" i="12"/>
  <c r="G7" i="12"/>
  <c r="F7" i="12"/>
  <c r="C2" i="12"/>
  <c r="D17" i="12"/>
  <c r="D16" i="12"/>
  <c r="D15" i="12"/>
  <c r="D14" i="12"/>
  <c r="D13" i="12"/>
  <c r="D12" i="12"/>
  <c r="D11" i="12"/>
  <c r="D10" i="12"/>
  <c r="D9" i="12"/>
  <c r="D8" i="12"/>
  <c r="D7" i="12"/>
  <c r="J25" i="12" l="1"/>
  <c r="J29" i="12" s="1"/>
  <c r="M25" i="12"/>
  <c r="L25" i="12"/>
  <c r="H25" i="12"/>
  <c r="Q7" i="12"/>
  <c r="K7" i="12" s="1"/>
  <c r="K7" i="14" s="1"/>
  <c r="Q8" i="12"/>
  <c r="Q9" i="12"/>
  <c r="L9" i="12" s="1"/>
  <c r="L9" i="14" s="1"/>
  <c r="Q10" i="12"/>
  <c r="Q11" i="12"/>
  <c r="J11" i="12" s="1"/>
  <c r="J11" i="14" s="1"/>
  <c r="Q12" i="12"/>
  <c r="J12" i="12" s="1"/>
  <c r="J12" i="14" s="1"/>
  <c r="Q13" i="12"/>
  <c r="J13" i="12" s="1"/>
  <c r="J13" i="14" s="1"/>
  <c r="Q14" i="12"/>
  <c r="L14" i="12" s="1"/>
  <c r="Q15" i="12"/>
  <c r="J15" i="12" s="1"/>
  <c r="J15" i="14" s="1"/>
  <c r="Q16" i="12"/>
  <c r="J16" i="12" s="1"/>
  <c r="J16" i="14" s="1"/>
  <c r="Q17" i="12"/>
  <c r="J17" i="12" s="1"/>
  <c r="J17" i="14" s="1"/>
  <c r="L8" i="12"/>
  <c r="L8" i="14" s="1"/>
  <c r="F10" i="11"/>
  <c r="C7" i="11"/>
  <c r="D7" i="11" s="1"/>
  <c r="E7" i="11" s="1"/>
  <c r="C6" i="11"/>
  <c r="D6" i="11" s="1"/>
  <c r="E6" i="11" s="1"/>
  <c r="C5" i="11"/>
  <c r="D5" i="11" s="1"/>
  <c r="L18" i="12" l="1"/>
  <c r="L20" i="12" s="1"/>
  <c r="L22" i="12" s="1"/>
  <c r="L24" i="12" s="1"/>
  <c r="L27" i="12" s="1"/>
  <c r="L14" i="14"/>
  <c r="L18" i="14"/>
  <c r="L20" i="14" s="1"/>
  <c r="L22" i="14" s="1"/>
  <c r="L24" i="14" s="1"/>
  <c r="L27" i="14" s="1"/>
  <c r="K10" i="12"/>
  <c r="J10" i="12"/>
  <c r="J10" i="14" s="1"/>
  <c r="J18" i="14" s="1"/>
  <c r="J20" i="14" s="1"/>
  <c r="J22" i="14" s="1"/>
  <c r="E5" i="11"/>
  <c r="J18" i="12"/>
  <c r="E42" i="10"/>
  <c r="E36" i="10"/>
  <c r="E33" i="10"/>
  <c r="E30" i="10"/>
  <c r="M16" i="10"/>
  <c r="L16" i="10"/>
  <c r="K16" i="10"/>
  <c r="J16" i="10"/>
  <c r="Q18" i="12" s="1"/>
  <c r="I16" i="10"/>
  <c r="H16" i="10"/>
  <c r="G16" i="10"/>
  <c r="F16" i="10"/>
  <c r="D16" i="10"/>
  <c r="D18" i="14" s="1"/>
  <c r="G18" i="12" l="1"/>
  <c r="G18" i="14"/>
  <c r="M18" i="12"/>
  <c r="M18" i="14"/>
  <c r="H18" i="12"/>
  <c r="H18" i="14"/>
  <c r="N18" i="12"/>
  <c r="N18" i="14"/>
  <c r="J17" i="10"/>
  <c r="Q19" i="12" s="1"/>
  <c r="K19" i="12" s="1"/>
  <c r="K19" i="14" s="1"/>
  <c r="F18" i="14"/>
  <c r="I18" i="12"/>
  <c r="I18" i="14"/>
  <c r="O18" i="12"/>
  <c r="O18" i="14"/>
  <c r="K18" i="12"/>
  <c r="K20" i="12" s="1"/>
  <c r="K10" i="14"/>
  <c r="K18" i="14" s="1"/>
  <c r="J18" i="10"/>
  <c r="Q20" i="12" s="1"/>
  <c r="M17" i="10"/>
  <c r="F18" i="12"/>
  <c r="D18" i="12"/>
  <c r="C11" i="11"/>
  <c r="J20" i="12"/>
  <c r="G17" i="10"/>
  <c r="G19" i="14" s="1"/>
  <c r="K17" i="10"/>
  <c r="M19" i="14" s="1"/>
  <c r="H17" i="10"/>
  <c r="H19" i="14" s="1"/>
  <c r="L17" i="10"/>
  <c r="N19" i="14" s="1"/>
  <c r="I17" i="10"/>
  <c r="I19" i="14" s="1"/>
  <c r="O19" i="12" l="1"/>
  <c r="O19" i="14"/>
  <c r="K20" i="14"/>
  <c r="M18" i="10"/>
  <c r="L18" i="10"/>
  <c r="N19" i="12"/>
  <c r="H18" i="10"/>
  <c r="H19" i="12"/>
  <c r="K18" i="10"/>
  <c r="M19" i="12"/>
  <c r="I18" i="10"/>
  <c r="I19" i="12"/>
  <c r="G18" i="10"/>
  <c r="G19" i="12"/>
  <c r="F11" i="11"/>
  <c r="F14" i="11" s="1"/>
  <c r="D11" i="11"/>
  <c r="J22" i="12"/>
  <c r="O20" i="12" l="1"/>
  <c r="O20" i="14"/>
  <c r="I20" i="12"/>
  <c r="I20" i="14"/>
  <c r="H20" i="12"/>
  <c r="H20" i="14"/>
  <c r="G20" i="12"/>
  <c r="G20" i="14"/>
  <c r="M20" i="12"/>
  <c r="M20" i="14"/>
  <c r="N20" i="12"/>
  <c r="N20" i="14"/>
  <c r="J19" i="10"/>
  <c r="H19" i="10"/>
  <c r="I19" i="10"/>
  <c r="L19" i="10"/>
  <c r="K19" i="10"/>
  <c r="J20" i="10"/>
  <c r="Q22" i="12" s="1"/>
  <c r="Q21" i="12"/>
  <c r="K21" i="12" s="1"/>
  <c r="M21" i="12"/>
  <c r="M19" i="10"/>
  <c r="O21" i="14" s="1"/>
  <c r="E11" i="11"/>
  <c r="E13" i="11" s="1"/>
  <c r="D14" i="11"/>
  <c r="E14" i="11" s="1"/>
  <c r="K22" i="12" l="1"/>
  <c r="K24" i="12" s="1"/>
  <c r="K26" i="12" s="1"/>
  <c r="K21" i="14"/>
  <c r="K22" i="14" s="1"/>
  <c r="K24" i="14" s="1"/>
  <c r="K26" i="14" s="1"/>
  <c r="I20" i="10"/>
  <c r="I22" i="14" s="1"/>
  <c r="I21" i="14"/>
  <c r="K20" i="10"/>
  <c r="M21" i="14"/>
  <c r="H21" i="12"/>
  <c r="H21" i="14"/>
  <c r="L20" i="10"/>
  <c r="N21" i="14"/>
  <c r="H20" i="10"/>
  <c r="H22" i="14" s="1"/>
  <c r="H27" i="14" s="1"/>
  <c r="N21" i="12"/>
  <c r="I21" i="12"/>
  <c r="I22" i="12"/>
  <c r="J21" i="10"/>
  <c r="J22" i="10" s="1"/>
  <c r="K21" i="10"/>
  <c r="M20" i="10"/>
  <c r="O21" i="12"/>
  <c r="H25" i="10"/>
  <c r="H22" i="12"/>
  <c r="H27" i="12" s="1"/>
  <c r="M23" i="12" l="1"/>
  <c r="M23" i="14"/>
  <c r="O22" i="12"/>
  <c r="O24" i="12" s="1"/>
  <c r="O22" i="14"/>
  <c r="O24" i="14" s="1"/>
  <c r="N22" i="12"/>
  <c r="N24" i="12" s="1"/>
  <c r="N22" i="14"/>
  <c r="N24" i="14" s="1"/>
  <c r="M22" i="12"/>
  <c r="M22" i="14"/>
  <c r="K22" i="10"/>
  <c r="M24" i="14" s="1"/>
  <c r="M27" i="14" s="1"/>
  <c r="Q23" i="12"/>
  <c r="J23" i="12" s="1"/>
  <c r="J25" i="10"/>
  <c r="Q24" i="12"/>
  <c r="E31" i="10"/>
  <c r="E32" i="10" s="1"/>
  <c r="C5" i="7"/>
  <c r="D5" i="7" s="1"/>
  <c r="E6" i="7" s="1"/>
  <c r="K25" i="10"/>
  <c r="M24" i="12"/>
  <c r="M27" i="12" s="1"/>
  <c r="J24" i="12" l="1"/>
  <c r="J26" i="12" s="1"/>
  <c r="J23" i="14"/>
  <c r="J24" i="14" s="1"/>
  <c r="J30" i="12"/>
  <c r="E37" i="10"/>
  <c r="E38" i="10" s="1"/>
  <c r="C13" i="7"/>
  <c r="D13" i="7" s="1"/>
  <c r="E14" i="7" s="1"/>
  <c r="E34" i="10"/>
  <c r="E35" i="10" s="1"/>
  <c r="C9" i="7"/>
  <c r="D9" i="7" s="1"/>
  <c r="E10" i="7" s="1"/>
  <c r="J26" i="14" l="1"/>
  <c r="J27" i="14"/>
  <c r="J27" i="12"/>
  <c r="E39" i="10"/>
  <c r="E45" i="10" s="1"/>
  <c r="L23" i="10" s="1"/>
  <c r="N25" i="14" s="1"/>
  <c r="N27" i="14" s="1"/>
  <c r="E16" i="7"/>
  <c r="E20" i="7" s="1"/>
  <c r="M23" i="10" l="1"/>
  <c r="L25" i="10"/>
  <c r="N25" i="12"/>
  <c r="N27" i="12" s="1"/>
  <c r="O25" i="12" l="1"/>
  <c r="O27" i="12" s="1"/>
  <c r="O25" i="14"/>
  <c r="O27" i="14" s="1"/>
  <c r="M25" i="10"/>
  <c r="E47" i="10" s="1"/>
  <c r="C23" i="7"/>
  <c r="D23" i="7" s="1"/>
  <c r="C22" i="7"/>
  <c r="D22" i="7" s="1"/>
  <c r="E46" i="10"/>
  <c r="E48" i="10" l="1"/>
  <c r="E25" i="7"/>
  <c r="D27" i="7" s="1"/>
  <c r="E29" i="7" s="1"/>
  <c r="E17" i="11" s="1"/>
  <c r="E19" i="11" s="1"/>
  <c r="E34" i="7" l="1"/>
  <c r="E38" i="7" s="1"/>
  <c r="E32" i="7" l="1"/>
  <c r="E31" i="7"/>
  <c r="E36" i="7"/>
  <c r="F34" i="7" s="1"/>
  <c r="E40" i="7"/>
  <c r="F29" i="7" l="1"/>
</calcChain>
</file>

<file path=xl/comments1.xml><?xml version="1.0" encoding="utf-8"?>
<comments xmlns="http://schemas.openxmlformats.org/spreadsheetml/2006/main">
  <authors>
    <author>HAU</author>
  </authors>
  <commentList>
    <comment ref="E9" authorId="0" shapeId="0">
      <text>
        <r>
          <rPr>
            <b/>
            <sz val="12"/>
            <color indexed="81"/>
            <rFont val="Segoe UI"/>
            <family val="2"/>
          </rPr>
          <t>Der Verteilerschlüssel lautet:
1:1:2:0:1:1:3:4</t>
        </r>
      </text>
    </comment>
    <comment ref="E12" authorId="0" shapeId="0">
      <text>
        <r>
          <rPr>
            <b/>
            <sz val="12"/>
            <color indexed="81"/>
            <rFont val="Segoe UI"/>
            <family val="2"/>
          </rPr>
          <t>In den Abteilungen sind der Reihenfolge nach zurzeit
8:8:16:16:16:16:32:16
Mitarbeiter beschäftigt.</t>
        </r>
      </text>
    </comment>
    <comment ref="E13" authorId="0" shapeId="0">
      <text>
        <r>
          <rPr>
            <b/>
            <sz val="12"/>
            <color indexed="81"/>
            <rFont val="Segoe UI"/>
            <family val="2"/>
          </rPr>
          <t>Die Raumgerößer der Abteilungen betragen der Reihenfolge nach
140:280:140:140:420:420:280:140
Quadratmeter.</t>
        </r>
      </text>
    </comment>
    <comment ref="E14" authorId="0" shapeId="0">
      <text>
        <r>
          <rPr>
            <b/>
            <sz val="12"/>
            <color indexed="81"/>
            <rFont val="Segoe UI"/>
            <family val="2"/>
          </rPr>
          <t xml:space="preserve">Die Anlagenwerte in den Abteilungen betragen der Reihenfolge nach in T€:
300:200:100:100:300:300:100:100
</t>
        </r>
      </text>
    </comment>
    <comment ref="F16" authorId="0" shapeId="0">
      <text>
        <r>
          <rPr>
            <b/>
            <sz val="12"/>
            <color indexed="81"/>
            <rFont val="Segoe UI"/>
            <family val="2"/>
          </rPr>
          <t>Der Umlageschlüssel für die Gemeinkosten der AKS Energie lautet:
1:1:3:6:5:3:1</t>
        </r>
      </text>
    </comment>
    <comment ref="G18" authorId="0" shapeId="0">
      <text>
        <r>
          <rPr>
            <b/>
            <sz val="12"/>
            <color indexed="81"/>
            <rFont val="Segoe UI"/>
            <family val="2"/>
          </rPr>
          <t>Der Umlageschlüssel für die Gemeinkosten der AKS Fuhrpark lautet:
4:2:3:2:5:6</t>
        </r>
      </text>
    </comment>
    <comment ref="I20" authorId="0" shapeId="0">
      <text>
        <r>
          <rPr>
            <b/>
            <sz val="12"/>
            <color indexed="81"/>
            <rFont val="Segoe UI"/>
            <family val="2"/>
          </rPr>
          <t>Der Umlageschlüssel für die Gemeinkosten der HiKS Entstaubung lautet:
3:2</t>
        </r>
      </text>
    </comment>
  </commentList>
</comments>
</file>

<file path=xl/comments2.xml><?xml version="1.0" encoding="utf-8"?>
<comments xmlns="http://schemas.openxmlformats.org/spreadsheetml/2006/main">
  <authors>
    <author>ah</author>
  </authors>
  <commentList>
    <comment ref="F29" authorId="0" shapeId="0">
      <text>
        <r>
          <rPr>
            <b/>
            <sz val="9"/>
            <color indexed="81"/>
            <rFont val="Segoe UI"/>
            <family val="2"/>
          </rPr>
          <t>Kontrollfeld</t>
        </r>
      </text>
    </comment>
    <comment ref="F34" authorId="0" shapeId="0">
      <text>
        <r>
          <rPr>
            <b/>
            <sz val="9"/>
            <color indexed="81"/>
            <rFont val="Segoe UI"/>
            <family val="2"/>
          </rPr>
          <t>Kontrollfeld</t>
        </r>
      </text>
    </comment>
  </commentList>
</comments>
</file>

<file path=xl/comments3.xml><?xml version="1.0" encoding="utf-8"?>
<comments xmlns="http://schemas.openxmlformats.org/spreadsheetml/2006/main">
  <authors>
    <author>HAU</author>
  </authors>
  <commentList>
    <comment ref="E13" authorId="0" shapeId="0">
      <text>
        <r>
          <rPr>
            <b/>
            <sz val="9"/>
            <color indexed="81"/>
            <rFont val="Segoe UI"/>
            <family val="2"/>
          </rPr>
          <t>Vergleich zweier Rechenwege</t>
        </r>
      </text>
    </comment>
    <comment ref="E14" authorId="0" shapeId="0">
      <text>
        <r>
          <rPr>
            <b/>
            <sz val="9"/>
            <color indexed="81"/>
            <rFont val="Segoe UI"/>
            <family val="2"/>
          </rPr>
          <t>Vergleich zweier Rechenwege</t>
        </r>
      </text>
    </comment>
  </commentList>
</comments>
</file>

<file path=xl/sharedStrings.xml><?xml version="1.0" encoding="utf-8"?>
<sst xmlns="http://schemas.openxmlformats.org/spreadsheetml/2006/main" count="274" uniqueCount="142">
  <si>
    <t>Gehälter</t>
  </si>
  <si>
    <t>IV.</t>
  </si>
  <si>
    <t>III.</t>
  </si>
  <si>
    <t>II.</t>
  </si>
  <si>
    <t>I.</t>
  </si>
  <si>
    <t>Verteiler</t>
  </si>
  <si>
    <t>Hilfsstoffe</t>
  </si>
  <si>
    <t>Hilfslöhne</t>
  </si>
  <si>
    <t>kalk. Zinsen</t>
  </si>
  <si>
    <t>Betriebssteuern</t>
  </si>
  <si>
    <t>V.</t>
  </si>
  <si>
    <t>VI.</t>
  </si>
  <si>
    <t>VII.</t>
  </si>
  <si>
    <t>VIII.</t>
  </si>
  <si>
    <t>Nr.</t>
  </si>
  <si>
    <t>Gemeinkostenart</t>
  </si>
  <si>
    <t>Zahlen BER</t>
  </si>
  <si>
    <t>1.</t>
  </si>
  <si>
    <t>2.</t>
  </si>
  <si>
    <t>3.</t>
  </si>
  <si>
    <t>soziale Abgaben</t>
  </si>
  <si>
    <t>4.</t>
  </si>
  <si>
    <t>Instandhaltung</t>
  </si>
  <si>
    <t>Schlüssel</t>
  </si>
  <si>
    <t>5.</t>
  </si>
  <si>
    <t>6.</t>
  </si>
  <si>
    <t>Büromaterial</t>
  </si>
  <si>
    <t>7.</t>
  </si>
  <si>
    <t>8.</t>
  </si>
  <si>
    <t>9.</t>
  </si>
  <si>
    <t>Zuschlagsgrundlagen</t>
  </si>
  <si>
    <t>Zuschlagssätze</t>
  </si>
  <si>
    <t>Summe</t>
  </si>
  <si>
    <t>MEK</t>
  </si>
  <si>
    <t>+ MGK</t>
  </si>
  <si>
    <t>= MK</t>
  </si>
  <si>
    <t>= HKE</t>
  </si>
  <si>
    <t>= HKU</t>
  </si>
  <si>
    <t>+/- Bestandsveränd.</t>
  </si>
  <si>
    <t>+ VwGK</t>
  </si>
  <si>
    <t>+ VtGK</t>
  </si>
  <si>
    <t>= SKU</t>
  </si>
  <si>
    <t>+ Gewinn</t>
  </si>
  <si>
    <t>= Barverkaufspreis</t>
  </si>
  <si>
    <t>+ Skonto</t>
  </si>
  <si>
    <t>= Zielverkaufspreis</t>
  </si>
  <si>
    <t>+ Kundenrabatt</t>
  </si>
  <si>
    <t>= Listenverkaufspreis</t>
  </si>
  <si>
    <t>1 Sack Koks --&gt;&gt;</t>
  </si>
  <si>
    <t>BAB Monat November 20xx</t>
  </si>
  <si>
    <t>AKS Energie</t>
  </si>
  <si>
    <t>AKS Fuhrpark</t>
  </si>
  <si>
    <t>HKS Material</t>
  </si>
  <si>
    <t>HiKS Entstaubung</t>
  </si>
  <si>
    <t>HKS Reaktor</t>
  </si>
  <si>
    <t>HKS Verpackung</t>
  </si>
  <si>
    <t>HKS Verwaltung</t>
  </si>
  <si>
    <t>HKS Vertrieb</t>
  </si>
  <si>
    <t>Werbung</t>
  </si>
  <si>
    <t>Mieten</t>
  </si>
  <si>
    <t>10.</t>
  </si>
  <si>
    <t>kalk. Abschreibungen</t>
  </si>
  <si>
    <t>11.</t>
  </si>
  <si>
    <t>Umlage</t>
  </si>
  <si>
    <t>Pos.</t>
  </si>
  <si>
    <t>Kalkulationsschema</t>
  </si>
  <si>
    <t xml:space="preserve">    Fertigungsmaterial (FM)</t>
  </si>
  <si>
    <r>
      <t xml:space="preserve">+ Materialgemeinkostenzuschlag </t>
    </r>
    <r>
      <rPr>
        <b/>
        <sz val="11"/>
        <color rgb="FFFF0000"/>
        <rFont val="Calibri"/>
        <family val="2"/>
        <scheme val="minor"/>
      </rPr>
      <t>(% auf Basis FM)</t>
    </r>
  </si>
  <si>
    <r>
      <t xml:space="preserve">= Materialkosten (MK) </t>
    </r>
    <r>
      <rPr>
        <i/>
        <sz val="11"/>
        <color theme="1"/>
        <rFont val="Calibri"/>
        <family val="2"/>
        <scheme val="minor"/>
      </rPr>
      <t>[1.+2.]</t>
    </r>
  </si>
  <si>
    <t xml:space="preserve">    Fertigungslöhne (FL)</t>
  </si>
  <si>
    <r>
      <t xml:space="preserve">+ Fertigungsgeminkostenzuschlag </t>
    </r>
    <r>
      <rPr>
        <b/>
        <sz val="11"/>
        <color rgb="FFFF0000"/>
        <rFont val="Calibri"/>
        <family val="2"/>
        <scheme val="minor"/>
      </rPr>
      <t>(% auf Basis FL)</t>
    </r>
  </si>
  <si>
    <r>
      <t xml:space="preserve">= Fertigungskosten (FK) </t>
    </r>
    <r>
      <rPr>
        <i/>
        <sz val="11"/>
        <color theme="1"/>
        <rFont val="Calibri"/>
        <family val="2"/>
        <scheme val="minor"/>
      </rPr>
      <t>[4.+5.]</t>
    </r>
  </si>
  <si>
    <r>
      <t xml:space="preserve">= Fertigungskosten (FK) </t>
    </r>
    <r>
      <rPr>
        <i/>
        <sz val="11"/>
        <color theme="1"/>
        <rFont val="Calibri"/>
        <family val="2"/>
        <scheme val="minor"/>
      </rPr>
      <t>[7.+8.]</t>
    </r>
  </si>
  <si>
    <r>
      <t>= Herstell</t>
    </r>
    <r>
      <rPr>
        <b/>
        <sz val="11"/>
        <color theme="1"/>
        <rFont val="Calibri"/>
        <family val="2"/>
        <scheme val="minor"/>
      </rPr>
      <t>kosten der Erzeugung</t>
    </r>
    <r>
      <rPr>
        <sz val="10"/>
        <rFont val="MS Sans Serif"/>
      </rPr>
      <t xml:space="preserve"> (HKE) </t>
    </r>
    <r>
      <rPr>
        <i/>
        <sz val="11"/>
        <color theme="1"/>
        <rFont val="Calibri"/>
        <family val="2"/>
        <scheme val="minor"/>
      </rPr>
      <t>[3.+6.+9.]</t>
    </r>
  </si>
  <si>
    <t>+ Anfangsbestand unfertige Erzeugnisse</t>
  </si>
  <si>
    <t>12.</t>
  </si>
  <si>
    <t>- Endbestand unfertige Erzeugnisse</t>
  </si>
  <si>
    <t>13.</t>
  </si>
  <si>
    <t>= Herstellkosten der fertigen Erzeugnisse</t>
  </si>
  <si>
    <t>14.</t>
  </si>
  <si>
    <t>+ Anfangsbestand fertige Erzeugnisse</t>
  </si>
  <si>
    <t>15.</t>
  </si>
  <si>
    <t>- Endbestand fertige Erzeugnisse</t>
  </si>
  <si>
    <t>16.</t>
  </si>
  <si>
    <r>
      <t xml:space="preserve">= Herstellkosten des </t>
    </r>
    <r>
      <rPr>
        <sz val="10"/>
        <color theme="1"/>
        <rFont val="Calibri"/>
        <family val="2"/>
        <scheme val="minor"/>
      </rPr>
      <t>Absatzes/</t>
    </r>
    <r>
      <rPr>
        <sz val="10"/>
        <rFont val="MS Sans Serif"/>
      </rPr>
      <t>Umsatzes (HKU)</t>
    </r>
  </si>
  <si>
    <t>17.</t>
  </si>
  <si>
    <r>
      <t>+ Verwaltungsgemeinkostenzuschlag</t>
    </r>
    <r>
      <rPr>
        <b/>
        <sz val="11"/>
        <color rgb="FFFF0000"/>
        <rFont val="Calibri"/>
        <family val="2"/>
        <scheme val="minor"/>
      </rPr>
      <t xml:space="preserve"> (% auf Basis HKU</t>
    </r>
    <r>
      <rPr>
        <sz val="10"/>
        <rFont val="MS Sans Serif"/>
      </rPr>
      <t>)</t>
    </r>
  </si>
  <si>
    <t>18.</t>
  </si>
  <si>
    <r>
      <t xml:space="preserve">+ Vertriebsgemeinkostenzuschlag </t>
    </r>
    <r>
      <rPr>
        <b/>
        <sz val="11"/>
        <color rgb="FFFF0000"/>
        <rFont val="Calibri"/>
        <family val="2"/>
        <scheme val="minor"/>
      </rPr>
      <t>(% auf Basis HKU)</t>
    </r>
  </si>
  <si>
    <t>19.</t>
  </si>
  <si>
    <t>= Selbstkosten des Umsatzes (SKU)</t>
  </si>
  <si>
    <t>FL    Reaktor</t>
  </si>
  <si>
    <t>+ FGK   Reaktor</t>
  </si>
  <si>
    <t>= FK   Reaktor</t>
  </si>
  <si>
    <t>FL    Verpackung</t>
  </si>
  <si>
    <t>+ FGK   Verpackung</t>
  </si>
  <si>
    <t>= FK   Verpackung</t>
  </si>
  <si>
    <t>Einzelkosten</t>
  </si>
  <si>
    <t>Gemeinkosten</t>
  </si>
  <si>
    <t>variabel</t>
  </si>
  <si>
    <t>fix</t>
  </si>
  <si>
    <t>Summen</t>
  </si>
  <si>
    <t>Preis</t>
  </si>
  <si>
    <t>Kapazität</t>
  </si>
  <si>
    <t>maschinenabhängige FGK</t>
  </si>
  <si>
    <t>Restgemein-</t>
  </si>
  <si>
    <t>Aufteilung der Gemeinkosten</t>
  </si>
  <si>
    <t>kosten</t>
  </si>
  <si>
    <t>Restgemeinkosten</t>
  </si>
  <si>
    <t>fix : variabel  =  1 : 4</t>
  </si>
  <si>
    <t>Anlagenwerte in T€</t>
  </si>
  <si>
    <t>Beschäftigtenzahl</t>
  </si>
  <si>
    <r>
      <t>Raumgrößen in m</t>
    </r>
    <r>
      <rPr>
        <vertAlign val="superscript"/>
        <sz val="12"/>
        <color indexed="8"/>
        <rFont val="Calibri"/>
        <family val="2"/>
      </rPr>
      <t>2</t>
    </r>
  </si>
  <si>
    <t>Gewinnschwelle</t>
  </si>
  <si>
    <t>Rechnungen (direkt</t>
  </si>
  <si>
    <t>Lohnlisten (direkt)</t>
  </si>
  <si>
    <t>Lohn- &amp; Gehaltslisten (direkt)</t>
  </si>
  <si>
    <t>Gehaltslisten (direkt)</t>
  </si>
  <si>
    <t>Investitionsplanung</t>
  </si>
  <si>
    <t>+ Vertriebsprovision</t>
  </si>
  <si>
    <r>
      <t>K</t>
    </r>
    <r>
      <rPr>
        <b/>
        <vertAlign val="subscript"/>
        <sz val="10"/>
        <rFont val="MS Sans Serif"/>
      </rPr>
      <t>v</t>
    </r>
  </si>
  <si>
    <r>
      <t>k</t>
    </r>
    <r>
      <rPr>
        <b/>
        <vertAlign val="subscript"/>
        <sz val="10"/>
        <rFont val="MS Sans Serif"/>
      </rPr>
      <t>v</t>
    </r>
  </si>
  <si>
    <t>Hilfszellen</t>
  </si>
  <si>
    <t>Kontrollzellen</t>
  </si>
  <si>
    <t>IST-Zuschlagssätze</t>
  </si>
  <si>
    <t>IST-Zuschlagssätze der Vormonate</t>
  </si>
  <si>
    <t>Oktober</t>
  </si>
  <si>
    <t>September</t>
  </si>
  <si>
    <t>August</t>
  </si>
  <si>
    <t>Juli</t>
  </si>
  <si>
    <t>Juni</t>
  </si>
  <si>
    <t>Mai</t>
  </si>
  <si>
    <t>NORMAL-Zuschlagssätze</t>
  </si>
  <si>
    <t>NORMAL-Gemeinkosten</t>
  </si>
  <si>
    <t>Kostenüber-/unterdeckung</t>
  </si>
  <si>
    <r>
      <t>K</t>
    </r>
    <r>
      <rPr>
        <b/>
        <vertAlign val="subscript"/>
        <sz val="10"/>
        <rFont val="MS Sans Serif"/>
      </rPr>
      <t>f</t>
    </r>
  </si>
  <si>
    <r>
      <t>K</t>
    </r>
    <r>
      <rPr>
        <b/>
        <vertAlign val="subscript"/>
        <sz val="10"/>
        <rFont val="MS Sans Serif"/>
      </rPr>
      <t>g</t>
    </r>
  </si>
  <si>
    <t>Einzelkosten und Zuschläge</t>
  </si>
  <si>
    <t>Zwischen-/Summen</t>
  </si>
  <si>
    <t>Basis: 1.000 kg Koks</t>
  </si>
  <si>
    <t>MSS im Fall 30%igen</t>
  </si>
  <si>
    <t>Beschäftigungsrückganges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</si>
</sst>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DM&quot;;[Red]\-#,##0.00\ &quot;DM&quot;"/>
    <numFmt numFmtId="165" formatCode="#,##0.00\ [$€];[Red]\-#,##0.00\ [$€]"/>
    <numFmt numFmtId="166" formatCode="_-* #,##0.00\ [$€-1]_-;\-* #,##0.00\ [$€-1]_-;_-* &quot;-&quot;??\ [$€-1]_-"/>
    <numFmt numFmtId="167" formatCode="_-* #,##0.00\ [$€-1]_-;\-* #,##0.00\ [$€-1]_-;_-* &quot;-&quot;??\ [$€-1]_-;_-@_-"/>
    <numFmt numFmtId="168" formatCode="#,##0.00\ &quot;€&quot;"/>
    <numFmt numFmtId="169" formatCode="#,##0.00\ [$€-40A];[Red]\-#,##0.00\ [$€-40A]"/>
    <numFmt numFmtId="170" formatCode="_-* #,##0.00\ [$€-407]_-;\-* #,##0.00\ [$€-407]_-;_-* &quot;-&quot;??\ [$€-407]_-;_-@_-"/>
    <numFmt numFmtId="171" formatCode="0.000"/>
    <numFmt numFmtId="172" formatCode="#,##0.00\ &quot; t&quot;"/>
    <numFmt numFmtId="173" formatCode="#,##0.00\ &quot; €/t&quot;"/>
    <numFmt numFmtId="174" formatCode="0.0"/>
    <numFmt numFmtId="175" formatCode="#,##0.00\ &quot; Std.&quot;"/>
    <numFmt numFmtId="176" formatCode="#,##0.00\ &quot; €/Std.&quot;"/>
    <numFmt numFmtId="177" formatCode="#,##0.00\ [$€-803];[Red]\-#,##0.00\ [$€-803]"/>
    <numFmt numFmtId="178" formatCode="#,##0.00\ &quot; €/Sack&quot;"/>
  </numFmts>
  <fonts count="41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</font>
    <font>
      <sz val="8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9"/>
      <color indexed="81"/>
      <name val="Segoe UI"/>
      <family val="2"/>
    </font>
    <font>
      <vertAlign val="superscript"/>
      <sz val="12"/>
      <color indexed="8"/>
      <name val="Calibri"/>
      <family val="2"/>
    </font>
    <font>
      <b/>
      <sz val="10"/>
      <name val="MS Sans Serif"/>
    </font>
    <font>
      <b/>
      <vertAlign val="subscript"/>
      <sz val="10"/>
      <name val="MS Sans Serif"/>
    </font>
    <font>
      <b/>
      <sz val="12"/>
      <color indexed="81"/>
      <name val="Segoe U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9C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FF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</borders>
  <cellStyleXfs count="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4" applyNumberFormat="0" applyFont="0" applyAlignment="0" applyProtection="0"/>
    <xf numFmtId="9" fontId="2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  <xf numFmtId="0" fontId="1" fillId="0" borderId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9">
    <xf numFmtId="0" fontId="0" fillId="0" borderId="0" xfId="0"/>
    <xf numFmtId="0" fontId="21" fillId="0" borderId="0" xfId="63" applyFont="1"/>
    <xf numFmtId="0" fontId="22" fillId="35" borderId="11" xfId="63" applyFont="1" applyFill="1" applyBorder="1"/>
    <xf numFmtId="0" fontId="21" fillId="36" borderId="0" xfId="63" applyFont="1" applyFill="1"/>
    <xf numFmtId="0" fontId="21" fillId="36" borderId="12" xfId="63" applyFont="1" applyFill="1" applyBorder="1"/>
    <xf numFmtId="0" fontId="22" fillId="36" borderId="12" xfId="63" applyFont="1" applyFill="1" applyBorder="1"/>
    <xf numFmtId="0" fontId="22" fillId="36" borderId="0" xfId="63" applyFont="1" applyFill="1"/>
    <xf numFmtId="0" fontId="22" fillId="36" borderId="13" xfId="63" applyFont="1" applyFill="1" applyBorder="1"/>
    <xf numFmtId="0" fontId="22" fillId="36" borderId="14" xfId="63" applyFont="1" applyFill="1" applyBorder="1"/>
    <xf numFmtId="0" fontId="22" fillId="36" borderId="15" xfId="63" applyFont="1" applyFill="1" applyBorder="1"/>
    <xf numFmtId="0" fontId="22" fillId="0" borderId="0" xfId="63" applyFont="1"/>
    <xf numFmtId="0" fontId="22" fillId="36" borderId="16" xfId="63" applyFont="1" applyFill="1" applyBorder="1"/>
    <xf numFmtId="0" fontId="22" fillId="36" borderId="17" xfId="63" applyFont="1" applyFill="1" applyBorder="1"/>
    <xf numFmtId="0" fontId="22" fillId="36" borderId="18" xfId="63" applyFont="1" applyFill="1" applyBorder="1"/>
    <xf numFmtId="0" fontId="22" fillId="36" borderId="19" xfId="63" applyFont="1" applyFill="1" applyBorder="1"/>
    <xf numFmtId="0" fontId="21" fillId="37" borderId="0" xfId="63" applyFont="1" applyFill="1"/>
    <xf numFmtId="166" fontId="22" fillId="37" borderId="14" xfId="63" applyNumberFormat="1" applyFont="1" applyFill="1" applyBorder="1"/>
    <xf numFmtId="166" fontId="21" fillId="37" borderId="14" xfId="63" applyNumberFormat="1" applyFont="1" applyFill="1" applyBorder="1"/>
    <xf numFmtId="166" fontId="21" fillId="37" borderId="0" xfId="63" applyNumberFormat="1" applyFont="1" applyFill="1"/>
    <xf numFmtId="166" fontId="21" fillId="37" borderId="20" xfId="63" applyNumberFormat="1" applyFont="1" applyFill="1" applyBorder="1"/>
    <xf numFmtId="166" fontId="21" fillId="37" borderId="15" xfId="63" applyNumberFormat="1" applyFont="1" applyFill="1" applyBorder="1"/>
    <xf numFmtId="0" fontId="21" fillId="37" borderId="21" xfId="63" applyFont="1" applyFill="1" applyBorder="1"/>
    <xf numFmtId="166" fontId="22" fillId="37" borderId="22" xfId="63" applyNumberFormat="1" applyFont="1" applyFill="1" applyBorder="1"/>
    <xf numFmtId="166" fontId="21" fillId="37" borderId="22" xfId="63" applyNumberFormat="1" applyFont="1" applyFill="1" applyBorder="1"/>
    <xf numFmtId="166" fontId="21" fillId="37" borderId="23" xfId="63" applyNumberFormat="1" applyFont="1" applyFill="1" applyBorder="1"/>
    <xf numFmtId="166" fontId="21" fillId="37" borderId="21" xfId="63" applyNumberFormat="1" applyFont="1" applyFill="1" applyBorder="1"/>
    <xf numFmtId="166" fontId="21" fillId="37" borderId="24" xfId="63" applyNumberFormat="1" applyFont="1" applyFill="1" applyBorder="1"/>
    <xf numFmtId="0" fontId="21" fillId="37" borderId="23" xfId="63" applyFont="1" applyFill="1" applyBorder="1"/>
    <xf numFmtId="166" fontId="21" fillId="37" borderId="17" xfId="63" applyNumberFormat="1" applyFont="1" applyFill="1" applyBorder="1"/>
    <xf numFmtId="0" fontId="21" fillId="36" borderId="21" xfId="63" applyFont="1" applyFill="1" applyBorder="1"/>
    <xf numFmtId="166" fontId="22" fillId="36" borderId="23" xfId="63" applyNumberFormat="1" applyFont="1" applyFill="1" applyBorder="1"/>
    <xf numFmtId="0" fontId="21" fillId="36" borderId="23" xfId="63" applyFont="1" applyFill="1" applyBorder="1"/>
    <xf numFmtId="166" fontId="22" fillId="36" borderId="24" xfId="63" applyNumberFormat="1" applyFont="1" applyFill="1" applyBorder="1"/>
    <xf numFmtId="166" fontId="21" fillId="36" borderId="24" xfId="63" applyNumberFormat="1" applyFont="1" applyFill="1" applyBorder="1"/>
    <xf numFmtId="166" fontId="21" fillId="36" borderId="23" xfId="63" applyNumberFormat="1" applyFont="1" applyFill="1" applyBorder="1"/>
    <xf numFmtId="166" fontId="21" fillId="36" borderId="22" xfId="63" applyNumberFormat="1" applyFont="1" applyFill="1" applyBorder="1"/>
    <xf numFmtId="167" fontId="21" fillId="0" borderId="0" xfId="63" applyNumberFormat="1" applyFont="1"/>
    <xf numFmtId="166" fontId="22" fillId="0" borderId="0" xfId="63" applyNumberFormat="1" applyFont="1"/>
    <xf numFmtId="167" fontId="21" fillId="37" borderId="24" xfId="63" applyNumberFormat="1" applyFont="1" applyFill="1" applyBorder="1"/>
    <xf numFmtId="167" fontId="21" fillId="36" borderId="23" xfId="63" applyNumberFormat="1" applyFont="1" applyFill="1" applyBorder="1"/>
    <xf numFmtId="167" fontId="21" fillId="36" borderId="22" xfId="63" applyNumberFormat="1" applyFont="1" applyFill="1" applyBorder="1"/>
    <xf numFmtId="167" fontId="21" fillId="36" borderId="24" xfId="63" applyNumberFormat="1" applyFont="1" applyFill="1" applyBorder="1"/>
    <xf numFmtId="167" fontId="21" fillId="37" borderId="22" xfId="63" applyNumberFormat="1" applyFont="1" applyFill="1" applyBorder="1"/>
    <xf numFmtId="167" fontId="21" fillId="37" borderId="15" xfId="63" applyNumberFormat="1" applyFont="1" applyFill="1" applyBorder="1"/>
    <xf numFmtId="167" fontId="21" fillId="37" borderId="10" xfId="63" applyNumberFormat="1" applyFont="1" applyFill="1" applyBorder="1"/>
    <xf numFmtId="167" fontId="21" fillId="37" borderId="25" xfId="63" applyNumberFormat="1" applyFont="1" applyFill="1" applyBorder="1"/>
    <xf numFmtId="0" fontId="21" fillId="37" borderId="26" xfId="63" applyFont="1" applyFill="1" applyBorder="1"/>
    <xf numFmtId="167" fontId="21" fillId="36" borderId="0" xfId="63" applyNumberFormat="1" applyFont="1" applyFill="1"/>
    <xf numFmtId="167" fontId="21" fillId="36" borderId="14" xfId="63" applyNumberFormat="1" applyFont="1" applyFill="1" applyBorder="1"/>
    <xf numFmtId="167" fontId="21" fillId="36" borderId="15" xfId="63" applyNumberFormat="1" applyFont="1" applyFill="1" applyBorder="1"/>
    <xf numFmtId="0" fontId="21" fillId="38" borderId="0" xfId="63" applyFont="1" applyFill="1"/>
    <xf numFmtId="168" fontId="21" fillId="38" borderId="0" xfId="63" applyNumberFormat="1" applyFont="1" applyFill="1" applyAlignment="1">
      <alignment horizontal="right" vertical="center"/>
    </xf>
    <xf numFmtId="168" fontId="21" fillId="38" borderId="0" xfId="63" applyNumberFormat="1" applyFont="1" applyFill="1" applyBorder="1" applyAlignment="1">
      <alignment horizontal="right" vertical="center"/>
    </xf>
    <xf numFmtId="168" fontId="21" fillId="39" borderId="0" xfId="63" applyNumberFormat="1" applyFont="1" applyFill="1" applyAlignment="1">
      <alignment horizontal="right" vertical="center"/>
    </xf>
    <xf numFmtId="168" fontId="21" fillId="39" borderId="15" xfId="63" applyNumberFormat="1" applyFont="1" applyFill="1" applyBorder="1" applyAlignment="1">
      <alignment horizontal="right" vertical="center"/>
    </xf>
    <xf numFmtId="0" fontId="21" fillId="38" borderId="0" xfId="63" applyFont="1" applyFill="1" applyAlignment="1">
      <alignment horizontal="right" vertical="center"/>
    </xf>
    <xf numFmtId="0" fontId="21" fillId="38" borderId="15" xfId="63" applyFont="1" applyFill="1" applyBorder="1"/>
    <xf numFmtId="10" fontId="21" fillId="38" borderId="0" xfId="63" applyNumberFormat="1" applyFont="1" applyFill="1" applyAlignment="1">
      <alignment horizontal="right" vertical="center"/>
    </xf>
    <xf numFmtId="10" fontId="21" fillId="38" borderId="15" xfId="63" applyNumberFormat="1" applyFont="1" applyFill="1" applyBorder="1" applyAlignment="1">
      <alignment horizontal="right" vertical="center"/>
    </xf>
    <xf numFmtId="0" fontId="23" fillId="40" borderId="27" xfId="63" applyFont="1" applyFill="1" applyBorder="1" applyProtection="1">
      <protection locked="0"/>
    </xf>
    <xf numFmtId="0" fontId="23" fillId="40" borderId="0" xfId="63" applyFont="1" applyFill="1" applyAlignment="1" applyProtection="1">
      <alignment wrapText="1"/>
      <protection locked="0"/>
    </xf>
    <xf numFmtId="0" fontId="23" fillId="0" borderId="0" xfId="63" applyFont="1" applyAlignment="1" applyProtection="1">
      <alignment horizontal="right" vertical="top" wrapText="1"/>
      <protection locked="0"/>
    </xf>
    <xf numFmtId="0" fontId="23" fillId="0" borderId="27" xfId="63" applyFont="1" applyBorder="1" applyProtection="1">
      <protection locked="0"/>
    </xf>
    <xf numFmtId="49" fontId="1" fillId="0" borderId="0" xfId="63" applyNumberFormat="1" applyAlignment="1" applyProtection="1">
      <alignment horizontal="left"/>
      <protection locked="0"/>
    </xf>
    <xf numFmtId="49" fontId="1" fillId="0" borderId="0" xfId="63" applyNumberFormat="1" applyAlignment="1" applyProtection="1">
      <alignment horizontal="right" vertical="top"/>
      <protection locked="0"/>
    </xf>
    <xf numFmtId="170" fontId="1" fillId="0" borderId="0" xfId="63" applyNumberFormat="1" applyAlignment="1" applyProtection="1">
      <alignment horizontal="right" vertical="top"/>
      <protection locked="0"/>
    </xf>
    <xf numFmtId="49" fontId="1" fillId="0" borderId="0" xfId="63" quotePrefix="1" applyNumberFormat="1" applyAlignment="1" applyProtection="1">
      <alignment horizontal="left"/>
      <protection locked="0"/>
    </xf>
    <xf numFmtId="10" fontId="0" fillId="0" borderId="0" xfId="65" quotePrefix="1" applyNumberFormat="1" applyFont="1" applyAlignment="1" applyProtection="1">
      <alignment horizontal="right" vertical="top"/>
      <protection locked="0"/>
    </xf>
    <xf numFmtId="170" fontId="0" fillId="0" borderId="0" xfId="65" quotePrefix="1" applyNumberFormat="1" applyFont="1" applyAlignment="1" applyProtection="1">
      <alignment horizontal="right" vertical="top"/>
      <protection locked="0"/>
    </xf>
    <xf numFmtId="0" fontId="23" fillId="0" borderId="28" xfId="63" applyFont="1" applyBorder="1" applyProtection="1">
      <protection locked="0"/>
    </xf>
    <xf numFmtId="49" fontId="1" fillId="41" borderId="29" xfId="63" quotePrefix="1" applyNumberFormat="1" applyFill="1" applyBorder="1" applyAlignment="1" applyProtection="1">
      <alignment horizontal="left"/>
      <protection locked="0"/>
    </xf>
    <xf numFmtId="49" fontId="1" fillId="41" borderId="29" xfId="63" quotePrefix="1" applyNumberFormat="1" applyFill="1" applyBorder="1" applyAlignment="1" applyProtection="1">
      <alignment horizontal="right" vertical="top"/>
      <protection locked="0"/>
    </xf>
    <xf numFmtId="170" fontId="1" fillId="41" borderId="29" xfId="63" quotePrefix="1" applyNumberFormat="1" applyFill="1" applyBorder="1" applyAlignment="1" applyProtection="1">
      <alignment horizontal="right" vertical="top"/>
      <protection locked="0"/>
    </xf>
    <xf numFmtId="10" fontId="0" fillId="0" borderId="0" xfId="65" applyNumberFormat="1" applyFont="1" applyAlignment="1" applyProtection="1">
      <alignment horizontal="right" vertical="top"/>
      <protection locked="0"/>
    </xf>
    <xf numFmtId="170" fontId="0" fillId="0" borderId="0" xfId="65" applyNumberFormat="1" applyFont="1" applyAlignment="1" applyProtection="1">
      <alignment horizontal="right" vertical="top"/>
      <protection locked="0"/>
    </xf>
    <xf numFmtId="49" fontId="1" fillId="42" borderId="30" xfId="63" quotePrefix="1" applyNumberFormat="1" applyFill="1" applyBorder="1" applyAlignment="1" applyProtection="1">
      <alignment horizontal="left"/>
      <protection locked="0"/>
    </xf>
    <xf numFmtId="49" fontId="1" fillId="42" borderId="30" xfId="63" quotePrefix="1" applyNumberFormat="1" applyFill="1" applyBorder="1" applyAlignment="1" applyProtection="1">
      <alignment horizontal="right" vertical="top"/>
      <protection locked="0"/>
    </xf>
    <xf numFmtId="170" fontId="1" fillId="42" borderId="30" xfId="63" quotePrefix="1" applyNumberFormat="1" applyFill="1" applyBorder="1" applyAlignment="1" applyProtection="1">
      <alignment horizontal="right" vertical="top"/>
      <protection locked="0"/>
    </xf>
    <xf numFmtId="49" fontId="26" fillId="0" borderId="0" xfId="63" applyNumberFormat="1" applyFont="1" applyAlignment="1" applyProtection="1">
      <alignment horizontal="left"/>
      <protection locked="0"/>
    </xf>
    <xf numFmtId="49" fontId="1" fillId="42" borderId="10" xfId="63" quotePrefix="1" applyNumberFormat="1" applyFill="1" applyBorder="1" applyAlignment="1" applyProtection="1">
      <alignment horizontal="left"/>
      <protection locked="0"/>
    </xf>
    <xf numFmtId="49" fontId="1" fillId="42" borderId="10" xfId="63" quotePrefix="1" applyNumberFormat="1" applyFill="1" applyBorder="1" applyAlignment="1" applyProtection="1">
      <alignment horizontal="right" vertical="top"/>
      <protection locked="0"/>
    </xf>
    <xf numFmtId="170" fontId="1" fillId="39" borderId="10" xfId="63" quotePrefix="1" applyNumberFormat="1" applyFill="1" applyBorder="1" applyAlignment="1" applyProtection="1">
      <alignment horizontal="right" vertical="top"/>
      <protection locked="0"/>
    </xf>
    <xf numFmtId="49" fontId="1" fillId="0" borderId="0" xfId="63" quotePrefix="1" applyNumberFormat="1" applyProtection="1">
      <protection locked="0"/>
    </xf>
    <xf numFmtId="0" fontId="1" fillId="42" borderId="10" xfId="63" quotePrefix="1" applyFill="1" applyBorder="1" applyProtection="1">
      <protection locked="0"/>
    </xf>
    <xf numFmtId="0" fontId="1" fillId="42" borderId="10" xfId="63" quotePrefix="1" applyFill="1" applyBorder="1" applyAlignment="1" applyProtection="1">
      <alignment horizontal="right" vertical="top"/>
      <protection locked="0"/>
    </xf>
    <xf numFmtId="170" fontId="1" fillId="42" borderId="10" xfId="63" quotePrefix="1" applyNumberFormat="1" applyFill="1" applyBorder="1" applyAlignment="1" applyProtection="1">
      <alignment horizontal="right" vertical="top"/>
      <protection locked="0"/>
    </xf>
    <xf numFmtId="49" fontId="28" fillId="43" borderId="32" xfId="0" applyNumberFormat="1" applyFont="1" applyFill="1" applyBorder="1"/>
    <xf numFmtId="10" fontId="28" fillId="43" borderId="32" xfId="0" applyNumberFormat="1" applyFont="1" applyFill="1" applyBorder="1"/>
    <xf numFmtId="168" fontId="28" fillId="43" borderId="32" xfId="0" applyNumberFormat="1" applyFont="1" applyFill="1" applyBorder="1"/>
    <xf numFmtId="10" fontId="30" fillId="0" borderId="0" xfId="0" applyNumberFormat="1" applyFont="1"/>
    <xf numFmtId="168" fontId="30" fillId="0" borderId="0" xfId="0" applyNumberFormat="1" applyFont="1"/>
    <xf numFmtId="165" fontId="30" fillId="0" borderId="0" xfId="48" applyFont="1"/>
    <xf numFmtId="0" fontId="30" fillId="0" borderId="0" xfId="0" applyFont="1"/>
    <xf numFmtId="171" fontId="30" fillId="0" borderId="0" xfId="0" applyNumberFormat="1" applyFont="1"/>
    <xf numFmtId="49" fontId="30" fillId="0" borderId="0" xfId="0" applyNumberFormat="1" applyFont="1"/>
    <xf numFmtId="169" fontId="30" fillId="33" borderId="0" xfId="0" applyNumberFormat="1" applyFont="1" applyFill="1"/>
    <xf numFmtId="177" fontId="30" fillId="0" borderId="0" xfId="0" applyNumberFormat="1" applyFont="1"/>
    <xf numFmtId="178" fontId="28" fillId="43" borderId="32" xfId="48" applyNumberFormat="1" applyFont="1" applyFill="1" applyBorder="1"/>
    <xf numFmtId="2" fontId="0" fillId="0" borderId="0" xfId="0" applyNumberFormat="1"/>
    <xf numFmtId="170" fontId="21" fillId="0" borderId="0" xfId="63" applyNumberFormat="1" applyFont="1"/>
    <xf numFmtId="168" fontId="21" fillId="0" borderId="0" xfId="63" applyNumberFormat="1" applyFont="1"/>
    <xf numFmtId="0" fontId="36" fillId="40" borderId="0" xfId="63" applyFont="1" applyFill="1"/>
    <xf numFmtId="166" fontId="36" fillId="40" borderId="0" xfId="63" applyNumberFormat="1" applyFont="1" applyFill="1"/>
    <xf numFmtId="1" fontId="36" fillId="40" borderId="0" xfId="63" applyNumberFormat="1" applyFont="1" applyFill="1"/>
    <xf numFmtId="167" fontId="36" fillId="40" borderId="0" xfId="63" applyNumberFormat="1" applyFont="1" applyFill="1"/>
    <xf numFmtId="174" fontId="37" fillId="0" borderId="0" xfId="63" applyNumberFormat="1" applyFont="1"/>
    <xf numFmtId="0" fontId="37" fillId="0" borderId="0" xfId="63" applyFont="1"/>
    <xf numFmtId="0" fontId="38" fillId="35" borderId="11" xfId="63" applyFont="1" applyFill="1" applyBorder="1"/>
    <xf numFmtId="0" fontId="37" fillId="36" borderId="0" xfId="63" applyFont="1" applyFill="1"/>
    <xf numFmtId="0" fontId="37" fillId="36" borderId="12" xfId="63" applyFont="1" applyFill="1" applyBorder="1"/>
    <xf numFmtId="0" fontId="38" fillId="36" borderId="12" xfId="63" applyFont="1" applyFill="1" applyBorder="1"/>
    <xf numFmtId="0" fontId="38" fillId="36" borderId="0" xfId="63" applyFont="1" applyFill="1"/>
    <xf numFmtId="0" fontId="38" fillId="36" borderId="13" xfId="63" applyFont="1" applyFill="1" applyBorder="1"/>
    <xf numFmtId="0" fontId="38" fillId="36" borderId="20" xfId="63" applyFont="1" applyFill="1" applyBorder="1"/>
    <xf numFmtId="0" fontId="38" fillId="36" borderId="0" xfId="63" applyFont="1" applyFill="1" applyBorder="1"/>
    <xf numFmtId="0" fontId="38" fillId="36" borderId="15" xfId="63" applyFont="1" applyFill="1" applyBorder="1"/>
    <xf numFmtId="0" fontId="38" fillId="36" borderId="14" xfId="63" applyFont="1" applyFill="1" applyBorder="1"/>
    <xf numFmtId="0" fontId="37" fillId="36" borderId="14" xfId="63" applyFont="1" applyFill="1" applyBorder="1"/>
    <xf numFmtId="0" fontId="38" fillId="0" borderId="0" xfId="63" applyFont="1"/>
    <xf numFmtId="0" fontId="38" fillId="36" borderId="16" xfId="63" applyFont="1" applyFill="1" applyBorder="1"/>
    <xf numFmtId="0" fontId="38" fillId="36" borderId="17" xfId="63" applyFont="1" applyFill="1" applyBorder="1"/>
    <xf numFmtId="0" fontId="38" fillId="36" borderId="18" xfId="63" applyFont="1" applyFill="1" applyBorder="1"/>
    <xf numFmtId="0" fontId="38" fillId="36" borderId="19" xfId="63" applyFont="1" applyFill="1" applyBorder="1"/>
    <xf numFmtId="0" fontId="37" fillId="37" borderId="0" xfId="63" applyFont="1" applyFill="1"/>
    <xf numFmtId="166" fontId="38" fillId="37" borderId="14" xfId="63" applyNumberFormat="1" applyFont="1" applyFill="1" applyBorder="1"/>
    <xf numFmtId="166" fontId="37" fillId="37" borderId="14" xfId="63" applyNumberFormat="1" applyFont="1" applyFill="1" applyBorder="1"/>
    <xf numFmtId="166" fontId="37" fillId="37" borderId="0" xfId="63" applyNumberFormat="1" applyFont="1" applyFill="1"/>
    <xf numFmtId="166" fontId="37" fillId="37" borderId="20" xfId="63" applyNumberFormat="1" applyFont="1" applyFill="1" applyBorder="1"/>
    <xf numFmtId="166" fontId="37" fillId="37" borderId="15" xfId="63" applyNumberFormat="1" applyFont="1" applyFill="1" applyBorder="1"/>
    <xf numFmtId="166" fontId="37" fillId="0" borderId="0" xfId="63" applyNumberFormat="1" applyFont="1"/>
    <xf numFmtId="0" fontId="37" fillId="37" borderId="21" xfId="63" applyFont="1" applyFill="1" applyBorder="1"/>
    <xf numFmtId="166" fontId="38" fillId="37" borderId="22" xfId="63" applyNumberFormat="1" applyFont="1" applyFill="1" applyBorder="1"/>
    <xf numFmtId="166" fontId="37" fillId="37" borderId="22" xfId="63" applyNumberFormat="1" applyFont="1" applyFill="1" applyBorder="1"/>
    <xf numFmtId="166" fontId="37" fillId="37" borderId="23" xfId="63" applyNumberFormat="1" applyFont="1" applyFill="1" applyBorder="1"/>
    <xf numFmtId="166" fontId="37" fillId="37" borderId="21" xfId="63" applyNumberFormat="1" applyFont="1" applyFill="1" applyBorder="1"/>
    <xf numFmtId="166" fontId="37" fillId="37" borderId="24" xfId="63" applyNumberFormat="1" applyFont="1" applyFill="1" applyBorder="1"/>
    <xf numFmtId="0" fontId="37" fillId="37" borderId="23" xfId="63" applyFont="1" applyFill="1" applyBorder="1"/>
    <xf numFmtId="166" fontId="37" fillId="37" borderId="17" xfId="63" applyNumberFormat="1" applyFont="1" applyFill="1" applyBorder="1"/>
    <xf numFmtId="166" fontId="37" fillId="37" borderId="19" xfId="63" applyNumberFormat="1" applyFont="1" applyFill="1" applyBorder="1"/>
    <xf numFmtId="0" fontId="37" fillId="36" borderId="21" xfId="63" applyFont="1" applyFill="1" applyBorder="1"/>
    <xf numFmtId="166" fontId="38" fillId="36" borderId="23" xfId="63" applyNumberFormat="1" applyFont="1" applyFill="1" applyBorder="1"/>
    <xf numFmtId="0" fontId="37" fillId="36" borderId="23" xfId="63" applyFont="1" applyFill="1" applyBorder="1"/>
    <xf numFmtId="166" fontId="38" fillId="36" borderId="24" xfId="63" applyNumberFormat="1" applyFont="1" applyFill="1" applyBorder="1"/>
    <xf numFmtId="166" fontId="37" fillId="36" borderId="24" xfId="63" applyNumberFormat="1" applyFont="1" applyFill="1" applyBorder="1"/>
    <xf numFmtId="166" fontId="37" fillId="36" borderId="23" xfId="63" applyNumberFormat="1" applyFont="1" applyFill="1" applyBorder="1"/>
    <xf numFmtId="166" fontId="37" fillId="36" borderId="22" xfId="63" applyNumberFormat="1" applyFont="1" applyFill="1" applyBorder="1"/>
    <xf numFmtId="166" fontId="38" fillId="0" borderId="0" xfId="63" applyNumberFormat="1" applyFont="1"/>
    <xf numFmtId="167" fontId="37" fillId="37" borderId="24" xfId="63" applyNumberFormat="1" applyFont="1" applyFill="1" applyBorder="1"/>
    <xf numFmtId="167" fontId="37" fillId="37" borderId="14" xfId="63" applyNumberFormat="1" applyFont="1" applyFill="1" applyBorder="1"/>
    <xf numFmtId="167" fontId="37" fillId="37" borderId="0" xfId="63" applyNumberFormat="1" applyFont="1" applyFill="1"/>
    <xf numFmtId="167" fontId="37" fillId="37" borderId="15" xfId="63" applyNumberFormat="1" applyFont="1" applyFill="1" applyBorder="1"/>
    <xf numFmtId="167" fontId="37" fillId="36" borderId="23" xfId="63" applyNumberFormat="1" applyFont="1" applyFill="1" applyBorder="1"/>
    <xf numFmtId="167" fontId="37" fillId="36" borderId="22" xfId="63" applyNumberFormat="1" applyFont="1" applyFill="1" applyBorder="1"/>
    <xf numFmtId="167" fontId="37" fillId="36" borderId="24" xfId="63" applyNumberFormat="1" applyFont="1" applyFill="1" applyBorder="1"/>
    <xf numFmtId="167" fontId="37" fillId="37" borderId="22" xfId="63" applyNumberFormat="1" applyFont="1" applyFill="1" applyBorder="1"/>
    <xf numFmtId="166" fontId="37" fillId="37" borderId="25" xfId="63" applyNumberFormat="1" applyFont="1" applyFill="1" applyBorder="1"/>
    <xf numFmtId="167" fontId="37" fillId="37" borderId="31" xfId="63" applyNumberFormat="1" applyFont="1" applyFill="1" applyBorder="1"/>
    <xf numFmtId="167" fontId="37" fillId="37" borderId="10" xfId="63" applyNumberFormat="1" applyFont="1" applyFill="1" applyBorder="1"/>
    <xf numFmtId="167" fontId="37" fillId="37" borderId="25" xfId="63" applyNumberFormat="1" applyFont="1" applyFill="1" applyBorder="1"/>
    <xf numFmtId="0" fontId="37" fillId="37" borderId="26" xfId="63" applyFont="1" applyFill="1" applyBorder="1"/>
    <xf numFmtId="167" fontId="37" fillId="36" borderId="15" xfId="63" applyNumberFormat="1" applyFont="1" applyFill="1" applyBorder="1"/>
    <xf numFmtId="167" fontId="37" fillId="36" borderId="0" xfId="63" applyNumberFormat="1" applyFont="1" applyFill="1"/>
    <xf numFmtId="167" fontId="37" fillId="36" borderId="14" xfId="63" applyNumberFormat="1" applyFont="1" applyFill="1" applyBorder="1"/>
    <xf numFmtId="0" fontId="37" fillId="38" borderId="0" xfId="63" applyFont="1" applyFill="1"/>
    <xf numFmtId="168" fontId="37" fillId="38" borderId="0" xfId="63" applyNumberFormat="1" applyFont="1" applyFill="1" applyAlignment="1">
      <alignment horizontal="right" vertical="center"/>
    </xf>
    <xf numFmtId="168" fontId="37" fillId="38" borderId="0" xfId="63" applyNumberFormat="1" applyFont="1" applyFill="1" applyBorder="1" applyAlignment="1">
      <alignment horizontal="right" vertical="center"/>
    </xf>
    <xf numFmtId="168" fontId="37" fillId="39" borderId="0" xfId="63" applyNumberFormat="1" applyFont="1" applyFill="1" applyAlignment="1">
      <alignment horizontal="right" vertical="center"/>
    </xf>
    <xf numFmtId="168" fontId="37" fillId="39" borderId="15" xfId="63" applyNumberFormat="1" applyFont="1" applyFill="1" applyBorder="1" applyAlignment="1">
      <alignment horizontal="right" vertical="center"/>
    </xf>
    <xf numFmtId="0" fontId="37" fillId="38" borderId="0" xfId="63" applyFont="1" applyFill="1" applyAlignment="1">
      <alignment horizontal="right" vertical="center"/>
    </xf>
    <xf numFmtId="167" fontId="39" fillId="38" borderId="0" xfId="63" applyNumberFormat="1" applyFont="1" applyFill="1"/>
    <xf numFmtId="176" fontId="39" fillId="38" borderId="0" xfId="63" applyNumberFormat="1" applyFont="1" applyFill="1"/>
    <xf numFmtId="0" fontId="37" fillId="38" borderId="15" xfId="63" applyFont="1" applyFill="1" applyBorder="1"/>
    <xf numFmtId="10" fontId="37" fillId="38" borderId="0" xfId="63" applyNumberFormat="1" applyFont="1" applyFill="1" applyAlignment="1">
      <alignment horizontal="right" vertical="center"/>
    </xf>
    <xf numFmtId="10" fontId="37" fillId="38" borderId="15" xfId="63" applyNumberFormat="1" applyFont="1" applyFill="1" applyBorder="1" applyAlignment="1">
      <alignment horizontal="right" vertical="center"/>
    </xf>
    <xf numFmtId="167" fontId="37" fillId="0" borderId="0" xfId="63" applyNumberFormat="1" applyFont="1"/>
    <xf numFmtId="176" fontId="37" fillId="0" borderId="0" xfId="63" applyNumberFormat="1" applyFont="1"/>
    <xf numFmtId="8" fontId="37" fillId="0" borderId="0" xfId="63" applyNumberFormat="1" applyFont="1"/>
    <xf numFmtId="0" fontId="37" fillId="45" borderId="0" xfId="63" applyFont="1" applyFill="1"/>
    <xf numFmtId="167" fontId="37" fillId="45" borderId="0" xfId="63" applyNumberFormat="1" applyFont="1" applyFill="1"/>
    <xf numFmtId="10" fontId="37" fillId="45" borderId="0" xfId="52" applyNumberFormat="1" applyFont="1" applyFill="1"/>
    <xf numFmtId="10" fontId="37" fillId="45" borderId="15" xfId="52" applyNumberFormat="1" applyFont="1" applyFill="1" applyBorder="1"/>
    <xf numFmtId="168" fontId="37" fillId="45" borderId="0" xfId="63" applyNumberFormat="1" applyFont="1" applyFill="1"/>
    <xf numFmtId="168" fontId="37" fillId="45" borderId="15" xfId="63" applyNumberFormat="1" applyFont="1" applyFill="1" applyBorder="1"/>
    <xf numFmtId="8" fontId="37" fillId="45" borderId="0" xfId="63" applyNumberFormat="1" applyFont="1" applyFill="1"/>
    <xf numFmtId="8" fontId="37" fillId="45" borderId="15" xfId="63" applyNumberFormat="1" applyFont="1" applyFill="1" applyBorder="1"/>
    <xf numFmtId="0" fontId="38" fillId="46" borderId="0" xfId="63" applyFont="1" applyFill="1"/>
    <xf numFmtId="0" fontId="37" fillId="46" borderId="0" xfId="63" applyFont="1" applyFill="1"/>
    <xf numFmtId="176" fontId="37" fillId="46" borderId="0" xfId="63" applyNumberFormat="1" applyFont="1" applyFill="1"/>
    <xf numFmtId="10" fontId="37" fillId="46" borderId="0" xfId="52" applyNumberFormat="1" applyFont="1" applyFill="1"/>
    <xf numFmtId="0" fontId="33" fillId="47" borderId="0" xfId="0" applyFont="1" applyFill="1"/>
    <xf numFmtId="0" fontId="0" fillId="47" borderId="0" xfId="0" applyFont="1" applyFill="1"/>
    <xf numFmtId="172" fontId="0" fillId="47" borderId="0" xfId="0" applyNumberFormat="1" applyFont="1" applyFill="1"/>
    <xf numFmtId="170" fontId="0" fillId="47" borderId="0" xfId="60" applyNumberFormat="1" applyFont="1" applyFill="1"/>
    <xf numFmtId="170" fontId="0" fillId="47" borderId="0" xfId="0" applyNumberFormat="1" applyFont="1" applyFill="1"/>
    <xf numFmtId="173" fontId="0" fillId="47" borderId="0" xfId="0" applyNumberFormat="1" applyFont="1" applyFill="1"/>
    <xf numFmtId="10" fontId="0" fillId="47" borderId="0" xfId="52" applyNumberFormat="1" applyFont="1" applyFill="1"/>
    <xf numFmtId="173" fontId="0" fillId="47" borderId="0" xfId="52" applyNumberFormat="1" applyFont="1" applyFill="1"/>
    <xf numFmtId="0" fontId="33" fillId="47" borderId="0" xfId="0" applyFont="1" applyFill="1" applyAlignment="1">
      <alignment horizontal="center"/>
    </xf>
    <xf numFmtId="49" fontId="29" fillId="36" borderId="33" xfId="0" applyNumberFormat="1" applyFont="1" applyFill="1" applyBorder="1"/>
    <xf numFmtId="10" fontId="30" fillId="0" borderId="34" xfId="0" applyNumberFormat="1" applyFont="1" applyBorder="1"/>
    <xf numFmtId="168" fontId="30" fillId="0" borderId="34" xfId="0" applyNumberFormat="1" applyFont="1" applyBorder="1"/>
    <xf numFmtId="165" fontId="30" fillId="0" borderId="35" xfId="48" applyFont="1" applyBorder="1"/>
    <xf numFmtId="49" fontId="30" fillId="0" borderId="36" xfId="0" applyNumberFormat="1" applyFont="1" applyBorder="1"/>
    <xf numFmtId="10" fontId="30" fillId="0" borderId="0" xfId="0" applyNumberFormat="1" applyFont="1" applyBorder="1"/>
    <xf numFmtId="168" fontId="30" fillId="0" borderId="0" xfId="0" applyNumberFormat="1" applyFont="1" applyBorder="1"/>
    <xf numFmtId="165" fontId="30" fillId="0" borderId="27" xfId="48" applyFont="1" applyBorder="1"/>
    <xf numFmtId="49" fontId="30" fillId="30" borderId="36" xfId="0" applyNumberFormat="1" applyFont="1" applyFill="1" applyBorder="1"/>
    <xf numFmtId="10" fontId="30" fillId="30" borderId="0" xfId="0" applyNumberFormat="1" applyFont="1" applyFill="1" applyBorder="1"/>
    <xf numFmtId="168" fontId="30" fillId="30" borderId="0" xfId="0" applyNumberFormat="1" applyFont="1" applyFill="1" applyBorder="1"/>
    <xf numFmtId="165" fontId="30" fillId="30" borderId="27" xfId="48" applyFont="1" applyFill="1" applyBorder="1"/>
    <xf numFmtId="10" fontId="30" fillId="30" borderId="0" xfId="52" applyNumberFormat="1" applyFont="1" applyFill="1" applyBorder="1"/>
    <xf numFmtId="49" fontId="30" fillId="24" borderId="36" xfId="0" applyNumberFormat="1" applyFont="1" applyFill="1" applyBorder="1"/>
    <xf numFmtId="10" fontId="30" fillId="24" borderId="0" xfId="0" applyNumberFormat="1" applyFont="1" applyFill="1" applyBorder="1"/>
    <xf numFmtId="168" fontId="30" fillId="24" borderId="0" xfId="0" applyNumberFormat="1" applyFont="1" applyFill="1" applyBorder="1"/>
    <xf numFmtId="165" fontId="30" fillId="24" borderId="27" xfId="48" applyFont="1" applyFill="1" applyBorder="1"/>
    <xf numFmtId="10" fontId="30" fillId="24" borderId="0" xfId="52" applyNumberFormat="1" applyFont="1" applyFill="1" applyBorder="1"/>
    <xf numFmtId="49" fontId="30" fillId="0" borderId="36" xfId="0" applyNumberFormat="1" applyFont="1" applyFill="1" applyBorder="1"/>
    <xf numFmtId="10" fontId="30" fillId="0" borderId="0" xfId="0" applyNumberFormat="1" applyFont="1" applyFill="1" applyBorder="1"/>
    <xf numFmtId="168" fontId="30" fillId="0" borderId="0" xfId="0" applyNumberFormat="1" applyFont="1" applyFill="1" applyBorder="1"/>
    <xf numFmtId="165" fontId="30" fillId="0" borderId="27" xfId="48" applyFont="1" applyFill="1" applyBorder="1"/>
    <xf numFmtId="49" fontId="30" fillId="29" borderId="36" xfId="0" applyNumberFormat="1" applyFont="1" applyFill="1" applyBorder="1"/>
    <xf numFmtId="10" fontId="30" fillId="29" borderId="0" xfId="0" applyNumberFormat="1" applyFont="1" applyFill="1" applyBorder="1"/>
    <xf numFmtId="168" fontId="30" fillId="29" borderId="0" xfId="0" applyNumberFormat="1" applyFont="1" applyFill="1" applyBorder="1"/>
    <xf numFmtId="165" fontId="30" fillId="29" borderId="27" xfId="48" applyFont="1" applyFill="1" applyBorder="1"/>
    <xf numFmtId="49" fontId="30" fillId="31" borderId="36" xfId="0" applyNumberFormat="1" applyFont="1" applyFill="1" applyBorder="1"/>
    <xf numFmtId="10" fontId="30" fillId="31" borderId="0" xfId="0" applyNumberFormat="1" applyFont="1" applyFill="1" applyBorder="1"/>
    <xf numFmtId="168" fontId="30" fillId="31" borderId="0" xfId="0" applyNumberFormat="1" applyFont="1" applyFill="1" applyBorder="1"/>
    <xf numFmtId="165" fontId="30" fillId="31" borderId="27" xfId="48" applyFont="1" applyFill="1" applyBorder="1"/>
    <xf numFmtId="49" fontId="30" fillId="34" borderId="36" xfId="0" applyNumberFormat="1" applyFont="1" applyFill="1" applyBorder="1"/>
    <xf numFmtId="10" fontId="30" fillId="34" borderId="0" xfId="52" applyNumberFormat="1" applyFont="1" applyFill="1" applyBorder="1"/>
    <xf numFmtId="168" fontId="30" fillId="34" borderId="0" xfId="0" applyNumberFormat="1" applyFont="1" applyFill="1" applyBorder="1"/>
    <xf numFmtId="165" fontId="30" fillId="34" borderId="27" xfId="48" applyFont="1" applyFill="1" applyBorder="1"/>
    <xf numFmtId="49" fontId="30" fillId="32" borderId="36" xfId="0" applyNumberFormat="1" applyFont="1" applyFill="1" applyBorder="1"/>
    <xf numFmtId="10" fontId="30" fillId="32" borderId="0" xfId="0" applyNumberFormat="1" applyFont="1" applyFill="1" applyBorder="1"/>
    <xf numFmtId="168" fontId="30" fillId="32" borderId="0" xfId="0" applyNumberFormat="1" applyFont="1" applyFill="1" applyBorder="1"/>
    <xf numFmtId="165" fontId="30" fillId="32" borderId="27" xfId="48" applyFont="1" applyFill="1" applyBorder="1"/>
    <xf numFmtId="49" fontId="30" fillId="25" borderId="36" xfId="0" applyNumberFormat="1" applyFont="1" applyFill="1" applyBorder="1"/>
    <xf numFmtId="10" fontId="30" fillId="25" borderId="0" xfId="52" applyNumberFormat="1" applyFont="1" applyFill="1" applyBorder="1"/>
    <xf numFmtId="168" fontId="30" fillId="25" borderId="0" xfId="0" applyNumberFormat="1" applyFont="1" applyFill="1" applyBorder="1"/>
    <xf numFmtId="165" fontId="30" fillId="25" borderId="27" xfId="48" applyFont="1" applyFill="1" applyBorder="1"/>
    <xf numFmtId="49" fontId="30" fillId="26" borderId="36" xfId="0" applyNumberFormat="1" applyFont="1" applyFill="1" applyBorder="1"/>
    <xf numFmtId="10" fontId="30" fillId="26" borderId="0" xfId="0" applyNumberFormat="1" applyFont="1" applyFill="1" applyBorder="1"/>
    <xf numFmtId="168" fontId="30" fillId="26" borderId="0" xfId="0" applyNumberFormat="1" applyFont="1" applyFill="1" applyBorder="1"/>
    <xf numFmtId="165" fontId="30" fillId="26" borderId="27" xfId="48" applyFont="1" applyFill="1" applyBorder="1"/>
    <xf numFmtId="49" fontId="30" fillId="27" borderId="36" xfId="0" applyNumberFormat="1" applyFont="1" applyFill="1" applyBorder="1"/>
    <xf numFmtId="10" fontId="30" fillId="27" borderId="0" xfId="0" applyNumberFormat="1" applyFont="1" applyFill="1" applyBorder="1"/>
    <xf numFmtId="168" fontId="30" fillId="44" borderId="0" xfId="0" applyNumberFormat="1" applyFont="1" applyFill="1" applyBorder="1"/>
    <xf numFmtId="165" fontId="30" fillId="44" borderId="27" xfId="48" applyFont="1" applyFill="1" applyBorder="1"/>
    <xf numFmtId="49" fontId="30" fillId="28" borderId="37" xfId="0" applyNumberFormat="1" applyFont="1" applyFill="1" applyBorder="1"/>
    <xf numFmtId="10" fontId="30" fillId="28" borderId="29" xfId="0" applyNumberFormat="1" applyFont="1" applyFill="1" applyBorder="1"/>
    <xf numFmtId="168" fontId="30" fillId="28" borderId="29" xfId="0" applyNumberFormat="1" applyFont="1" applyFill="1" applyBorder="1"/>
    <xf numFmtId="165" fontId="30" fillId="28" borderId="28" xfId="48" applyFont="1" applyFill="1" applyBorder="1"/>
    <xf numFmtId="10" fontId="37" fillId="45" borderId="0" xfId="63" applyNumberFormat="1" applyFont="1" applyFill="1"/>
    <xf numFmtId="0" fontId="37" fillId="48" borderId="0" xfId="63" applyFont="1" applyFill="1"/>
    <xf numFmtId="10" fontId="29" fillId="0" borderId="0" xfId="0" applyNumberFormat="1" applyFont="1" applyBorder="1"/>
    <xf numFmtId="168" fontId="29" fillId="0" borderId="0" xfId="0" applyNumberFormat="1" applyFont="1" applyBorder="1" applyAlignment="1">
      <alignment wrapText="1"/>
    </xf>
    <xf numFmtId="165" fontId="29" fillId="0" borderId="27" xfId="48" applyFont="1" applyBorder="1"/>
    <xf numFmtId="49" fontId="30" fillId="49" borderId="36" xfId="0" applyNumberFormat="1" applyFont="1" applyFill="1" applyBorder="1"/>
    <xf numFmtId="10" fontId="30" fillId="49" borderId="0" xfId="52" applyNumberFormat="1" applyFont="1" applyFill="1" applyBorder="1"/>
    <xf numFmtId="168" fontId="30" fillId="49" borderId="0" xfId="0" applyNumberFormat="1" applyFont="1" applyFill="1" applyBorder="1"/>
    <xf numFmtId="165" fontId="30" fillId="49" borderId="27" xfId="48" applyFont="1" applyFill="1" applyBorder="1"/>
    <xf numFmtId="49" fontId="30" fillId="50" borderId="36" xfId="0" applyNumberFormat="1" applyFont="1" applyFill="1" applyBorder="1"/>
    <xf numFmtId="10" fontId="30" fillId="50" borderId="0" xfId="52" applyNumberFormat="1" applyFont="1" applyFill="1" applyBorder="1"/>
    <xf numFmtId="168" fontId="30" fillId="50" borderId="0" xfId="0" applyNumberFormat="1" applyFont="1" applyFill="1" applyBorder="1"/>
    <xf numFmtId="165" fontId="30" fillId="50" borderId="27" xfId="48" applyFont="1" applyFill="1" applyBorder="1"/>
    <xf numFmtId="0" fontId="40" fillId="36" borderId="38" xfId="63" applyFont="1" applyFill="1" applyBorder="1"/>
    <xf numFmtId="0" fontId="40" fillId="36" borderId="39" xfId="63" applyFont="1" applyFill="1" applyBorder="1"/>
    <xf numFmtId="0" fontId="40" fillId="36" borderId="40" xfId="63" applyFont="1" applyFill="1" applyBorder="1"/>
    <xf numFmtId="0" fontId="40" fillId="36" borderId="41" xfId="63" applyFont="1" applyFill="1" applyBorder="1"/>
    <xf numFmtId="0" fontId="40" fillId="36" borderId="42" xfId="63" applyFont="1" applyFill="1" applyBorder="1"/>
    <xf numFmtId="0" fontId="40" fillId="36" borderId="43" xfId="63" applyFont="1" applyFill="1" applyBorder="1"/>
    <xf numFmtId="0" fontId="40" fillId="36" borderId="44" xfId="63" applyFont="1" applyFill="1" applyBorder="1"/>
    <xf numFmtId="166" fontId="39" fillId="37" borderId="42" xfId="63" applyNumberFormat="1" applyFont="1" applyFill="1" applyBorder="1"/>
    <xf numFmtId="166" fontId="39" fillId="37" borderId="41" xfId="63" applyNumberFormat="1" applyFont="1" applyFill="1" applyBorder="1"/>
    <xf numFmtId="166" fontId="39" fillId="37" borderId="45" xfId="63" applyNumberFormat="1" applyFont="1" applyFill="1" applyBorder="1"/>
    <xf numFmtId="166" fontId="39" fillId="37" borderId="46" xfId="63" applyNumberFormat="1" applyFont="1" applyFill="1" applyBorder="1"/>
    <xf numFmtId="166" fontId="39" fillId="37" borderId="43" xfId="63" applyNumberFormat="1" applyFont="1" applyFill="1" applyBorder="1"/>
    <xf numFmtId="166" fontId="39" fillId="37" borderId="44" xfId="63" applyNumberFormat="1" applyFont="1" applyFill="1" applyBorder="1"/>
    <xf numFmtId="166" fontId="39" fillId="36" borderId="45" xfId="63" applyNumberFormat="1" applyFont="1" applyFill="1" applyBorder="1"/>
    <xf numFmtId="166" fontId="39" fillId="36" borderId="46" xfId="63" applyNumberFormat="1" applyFont="1" applyFill="1" applyBorder="1"/>
    <xf numFmtId="167" fontId="39" fillId="37" borderId="42" xfId="63" applyNumberFormat="1" applyFont="1" applyFill="1" applyBorder="1"/>
    <xf numFmtId="167" fontId="39" fillId="37" borderId="41" xfId="63" applyNumberFormat="1" applyFont="1" applyFill="1" applyBorder="1"/>
    <xf numFmtId="167" fontId="39" fillId="36" borderId="45" xfId="63" applyNumberFormat="1" applyFont="1" applyFill="1" applyBorder="1"/>
    <xf numFmtId="167" fontId="39" fillId="36" borderId="46" xfId="63" applyNumberFormat="1" applyFont="1" applyFill="1" applyBorder="1"/>
    <xf numFmtId="167" fontId="39" fillId="37" borderId="47" xfId="63" applyNumberFormat="1" applyFont="1" applyFill="1" applyBorder="1"/>
    <xf numFmtId="167" fontId="39" fillId="37" borderId="48" xfId="63" applyNumberFormat="1" applyFont="1" applyFill="1" applyBorder="1"/>
    <xf numFmtId="167" fontId="39" fillId="36" borderId="47" xfId="63" applyNumberFormat="1" applyFont="1" applyFill="1" applyBorder="1"/>
    <xf numFmtId="167" fontId="39" fillId="36" borderId="48" xfId="63" applyNumberFormat="1" applyFont="1" applyFill="1" applyBorder="1"/>
    <xf numFmtId="0" fontId="38" fillId="36" borderId="20" xfId="63" applyFont="1" applyFill="1" applyBorder="1" applyAlignment="1">
      <alignment horizontal="center"/>
    </xf>
    <xf numFmtId="0" fontId="38" fillId="36" borderId="15" xfId="63" applyFont="1" applyFill="1" applyBorder="1" applyAlignment="1">
      <alignment horizontal="center"/>
    </xf>
    <xf numFmtId="175" fontId="37" fillId="38" borderId="0" xfId="63" applyNumberFormat="1" applyFont="1" applyFill="1" applyBorder="1" applyAlignment="1">
      <alignment horizontal="center" vertical="center"/>
    </xf>
    <xf numFmtId="176" fontId="37" fillId="38" borderId="0" xfId="60" applyNumberFormat="1" applyFont="1" applyFill="1" applyAlignment="1">
      <alignment horizontal="center" vertical="center"/>
    </xf>
    <xf numFmtId="175" fontId="38" fillId="48" borderId="0" xfId="63" applyNumberFormat="1" applyFont="1" applyFill="1" applyAlignment="1">
      <alignment horizontal="center"/>
    </xf>
    <xf numFmtId="176" fontId="38" fillId="48" borderId="0" xfId="63" applyNumberFormat="1" applyFont="1" applyFill="1" applyAlignment="1">
      <alignment horizontal="center"/>
    </xf>
    <xf numFmtId="176" fontId="37" fillId="46" borderId="0" xfId="63" applyNumberFormat="1" applyFont="1" applyFill="1" applyAlignment="1">
      <alignment horizontal="center"/>
    </xf>
    <xf numFmtId="176" fontId="37" fillId="45" borderId="0" xfId="63" applyNumberFormat="1" applyFont="1" applyFill="1" applyAlignment="1">
      <alignment horizontal="center"/>
    </xf>
    <xf numFmtId="168" fontId="37" fillId="45" borderId="0" xfId="63" applyNumberFormat="1" applyFont="1" applyFill="1" applyAlignment="1">
      <alignment horizontal="center"/>
    </xf>
    <xf numFmtId="8" fontId="37" fillId="45" borderId="0" xfId="63" applyNumberFormat="1" applyFont="1" applyFill="1" applyAlignment="1">
      <alignment horizontal="center"/>
    </xf>
    <xf numFmtId="10" fontId="37" fillId="45" borderId="0" xfId="52" applyNumberFormat="1" applyFont="1" applyFill="1" applyAlignment="1">
      <alignment horizontal="center"/>
    </xf>
  </cellXfs>
  <cellStyles count="6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 % - Akzent1" xfId="13" builtinId="31" customBuiltin="1"/>
    <cellStyle name="40 % - Akzent2" xfId="14" builtinId="35" customBuiltin="1"/>
    <cellStyle name="40 % - Akzent3" xfId="15" builtinId="39" customBuiltin="1"/>
    <cellStyle name="40 % - Akzent4" xfId="16" builtinId="43" customBuiltin="1"/>
    <cellStyle name="40 % - Akzent5" xfId="17" builtinId="47" customBuiltin="1"/>
    <cellStyle name="40 % - Akzent6" xfId="18" builtinId="51" customBuiltin="1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 % - Akzent1" xfId="25" builtinId="32" customBuiltin="1"/>
    <cellStyle name="60 % - Akzent2" xfId="26" builtinId="36" customBuiltin="1"/>
    <cellStyle name="60 % - Akzent3" xfId="27" builtinId="40" customBuiltin="1"/>
    <cellStyle name="60 % - Akzent4" xfId="28" builtinId="44" customBuiltin="1"/>
    <cellStyle name="60 % - Akzent5" xfId="29" builtinId="48" customBuiltin="1"/>
    <cellStyle name="60 % - Akzent6" xfId="30" builtinId="52" customBuiltin="1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kzent1" xfId="37" builtinId="29" customBuiltin="1"/>
    <cellStyle name="Akzent2" xfId="38" builtinId="33" customBuiltin="1"/>
    <cellStyle name="Akzent3" xfId="39" builtinId="37" customBuiltin="1"/>
    <cellStyle name="Akzent4" xfId="40" builtinId="41" customBuiltin="1"/>
    <cellStyle name="Akzent5" xfId="41" builtinId="45" customBuiltin="1"/>
    <cellStyle name="Akzent6" xfId="42" builtinId="49" customBuiltin="1"/>
    <cellStyle name="Ausgabe" xfId="43" builtinId="21" customBuiltin="1"/>
    <cellStyle name="Berechnung" xfId="44" builtinId="22" customBuiltin="1"/>
    <cellStyle name="Eingabe" xfId="45" builtinId="20" customBuiltin="1"/>
    <cellStyle name="Ergebnis" xfId="46" builtinId="25" customBuiltin="1"/>
    <cellStyle name="Erklärender Text" xfId="47" builtinId="53" customBuiltin="1"/>
    <cellStyle name="Euro" xfId="48"/>
    <cellStyle name="Gut" xfId="49" builtinId="26" customBuiltin="1"/>
    <cellStyle name="Neutral" xfId="50" builtinId="28" customBuiltin="1"/>
    <cellStyle name="Notiz" xfId="51" builtinId="10" customBuiltin="1"/>
    <cellStyle name="Prozent" xfId="52" builtinId="5"/>
    <cellStyle name="Prozent 2" xfId="65"/>
    <cellStyle name="Schlecht" xfId="53" builtinId="27" customBuiltin="1"/>
    <cellStyle name="Standard" xfId="0" builtinId="0"/>
    <cellStyle name="Standard 3" xfId="63"/>
    <cellStyle name="Überschrift" xfId="54" builtinId="15" customBuiltin="1"/>
    <cellStyle name="Überschrift 1" xfId="55" builtinId="16" customBuiltin="1"/>
    <cellStyle name="Überschrift 2" xfId="56" builtinId="17" customBuiltin="1"/>
    <cellStyle name="Überschrift 3" xfId="57" builtinId="18" customBuiltin="1"/>
    <cellStyle name="Überschrift 4" xfId="58" builtinId="19" customBuiltin="1"/>
    <cellStyle name="Verknüpfte Zelle" xfId="59" builtinId="24" customBuiltin="1"/>
    <cellStyle name="Währung" xfId="60" builtinId="4"/>
    <cellStyle name="Währung 2" xfId="64"/>
    <cellStyle name="Warnender Text" xfId="61" builtinId="11" customBuiltin="1"/>
    <cellStyle name="Zelle überprüfen" xfId="62" builtinId="23" customBuiltin="1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FF66FF"/>
      <color rgb="FFFF33CC"/>
      <color rgb="FF990033"/>
      <color rgb="FFCC9CCC"/>
      <color rgb="FFCC00FF"/>
      <color rgb="FF00FF00"/>
      <color rgb="FFCC0000"/>
      <color rgb="FF99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498476</xdr:colOff>
      <xdr:row>16</xdr:row>
      <xdr:rowOff>17993</xdr:rowOff>
    </xdr:from>
    <xdr:to>
      <xdr:col>5</xdr:col>
      <xdr:colOff>927101</xdr:colOff>
      <xdr:row>16</xdr:row>
      <xdr:rowOff>170393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 rot="5400000">
          <a:off x="5151439" y="3223155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892174</xdr:colOff>
      <xdr:row>20</xdr:row>
      <xdr:rowOff>20112</xdr:rowOff>
    </xdr:from>
    <xdr:to>
      <xdr:col>8</xdr:col>
      <xdr:colOff>1320799</xdr:colOff>
      <xdr:row>20</xdr:row>
      <xdr:rowOff>172512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5400000">
          <a:off x="8574087" y="4063474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614892</xdr:colOff>
      <xdr:row>18</xdr:row>
      <xdr:rowOff>17994</xdr:rowOff>
    </xdr:from>
    <xdr:to>
      <xdr:col>6</xdr:col>
      <xdr:colOff>1043517</xdr:colOff>
      <xdr:row>18</xdr:row>
      <xdr:rowOff>170394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 rot="5400000">
          <a:off x="6229880" y="3642256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20</xdr:row>
      <xdr:rowOff>0</xdr:rowOff>
    </xdr:from>
    <xdr:to>
      <xdr:col>8</xdr:col>
      <xdr:colOff>285750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6" y="3257550"/>
          <a:ext cx="6705599" cy="1000125"/>
        </a:xfrm>
        <a:prstGeom prst="rect">
          <a:avLst/>
        </a:prstGeom>
        <a:solidFill>
          <a:srgbClr val="66FF33"/>
        </a:solidFill>
        <a:ln>
          <a:noFill/>
        </a:ln>
        <a:extLst/>
      </xdr:spPr>
      <xdr:txBody>
        <a:bodyPr vertOverflow="clip" wrap="square" lIns="45720" tIns="27432" rIns="0" bIns="0" anchor="t" upright="1"/>
        <a:lstStyle/>
        <a:p>
          <a:pPr rtl="0"/>
          <a:r>
            <a:rPr lang="de-DE" sz="1400" b="0" i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Die Kostenfunktion in Abhängigkeit vom produzierten Koks (x = 1 t Koks)</a:t>
          </a:r>
        </a:p>
        <a:p>
          <a:pPr rtl="0"/>
          <a:r>
            <a:rPr lang="de-DE" sz="1400" b="0" i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ohne Berücksichtigung von Bestandsveränderungen lautet:</a:t>
          </a:r>
        </a:p>
        <a:p>
          <a:pPr rtl="0"/>
          <a:endParaRPr lang="de-DE" sz="1400" b="0" i="0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rtl="0"/>
          <a:r>
            <a:rPr lang="de-DE" sz="1400" b="0" i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==&gt;   </a:t>
          </a:r>
          <a:r>
            <a:rPr lang="de-DE" sz="1400" b="1" i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K</a:t>
          </a:r>
          <a:r>
            <a:rPr lang="de-DE" sz="1400" b="1" i="0" baseline="-250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</a:t>
          </a:r>
          <a:r>
            <a:rPr lang="de-DE" sz="1400" b="1" i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(x) = 89,08 x  +  1.081.850</a:t>
          </a:r>
        </a:p>
        <a:p>
          <a:pPr rtl="0"/>
          <a:endParaRPr lang="de-DE" sz="1400" b="1">
            <a:solidFill>
              <a:schemeClr val="bg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498476</xdr:colOff>
      <xdr:row>18</xdr:row>
      <xdr:rowOff>17993</xdr:rowOff>
    </xdr:from>
    <xdr:to>
      <xdr:col>5</xdr:col>
      <xdr:colOff>927101</xdr:colOff>
      <xdr:row>18</xdr:row>
      <xdr:rowOff>170393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 rot="5400000">
          <a:off x="5008564" y="3623205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892174</xdr:colOff>
      <xdr:row>22</xdr:row>
      <xdr:rowOff>20112</xdr:rowOff>
    </xdr:from>
    <xdr:to>
      <xdr:col>8</xdr:col>
      <xdr:colOff>1320799</xdr:colOff>
      <xdr:row>22</xdr:row>
      <xdr:rowOff>172512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5400000">
          <a:off x="8431212" y="4463524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614892</xdr:colOff>
      <xdr:row>20</xdr:row>
      <xdr:rowOff>17994</xdr:rowOff>
    </xdr:from>
    <xdr:to>
      <xdr:col>6</xdr:col>
      <xdr:colOff>1043517</xdr:colOff>
      <xdr:row>20</xdr:row>
      <xdr:rowOff>170394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 rot="5400000">
          <a:off x="6087005" y="4042306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498476</xdr:colOff>
      <xdr:row>18</xdr:row>
      <xdr:rowOff>17993</xdr:rowOff>
    </xdr:from>
    <xdr:to>
      <xdr:col>5</xdr:col>
      <xdr:colOff>927101</xdr:colOff>
      <xdr:row>18</xdr:row>
      <xdr:rowOff>170393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 rot="5400000">
          <a:off x="5008564" y="3623205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614892</xdr:colOff>
      <xdr:row>20</xdr:row>
      <xdr:rowOff>17994</xdr:rowOff>
    </xdr:from>
    <xdr:to>
      <xdr:col>6</xdr:col>
      <xdr:colOff>1043517</xdr:colOff>
      <xdr:row>20</xdr:row>
      <xdr:rowOff>170394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 rot="5400000">
          <a:off x="6087005" y="4042306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</xdr:colOff>
      <xdr:row>31</xdr:row>
      <xdr:rowOff>0</xdr:rowOff>
    </xdr:from>
    <xdr:to>
      <xdr:col>8</xdr:col>
      <xdr:colOff>899584</xdr:colOff>
      <xdr:row>35</xdr:row>
      <xdr:rowOff>84666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08001" y="6455833"/>
          <a:ext cx="8826500" cy="88900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  <a:extLst/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ysClr val="windowText" lastClr="000000"/>
              </a:solidFill>
              <a:latin typeface="Verdana"/>
              <a:ea typeface="Verdana"/>
              <a:cs typeface="Verdana"/>
            </a:rPr>
            <a:t>Die Kostenfunktion des Reaktors in Abhängigkeit von der Laufzeit (x = Betriebsstunden) lautet:</a:t>
          </a:r>
        </a:p>
        <a:p>
          <a:pPr algn="l" rtl="0">
            <a:defRPr sz="1000"/>
          </a:pPr>
          <a:endParaRPr lang="de-DE" sz="1400" b="0" i="0" u="none" strike="noStrike" baseline="0">
            <a:solidFill>
              <a:sysClr val="windowText" lastClr="000000"/>
            </a:solidFill>
            <a:latin typeface="Verdana"/>
            <a:ea typeface="Verdana"/>
            <a:cs typeface="Verdana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==&gt;   K</a:t>
          </a:r>
          <a:r>
            <a:rPr kumimoji="0" lang="de-DE" sz="1400" b="1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</a:t>
          </a: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(x) = 167,36 x  +  252.900,00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498476</xdr:colOff>
      <xdr:row>18</xdr:row>
      <xdr:rowOff>17993</xdr:rowOff>
    </xdr:from>
    <xdr:to>
      <xdr:col>5</xdr:col>
      <xdr:colOff>927101</xdr:colOff>
      <xdr:row>18</xdr:row>
      <xdr:rowOff>170393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 rot="5400000">
          <a:off x="4846639" y="3623205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892174</xdr:colOff>
      <xdr:row>22</xdr:row>
      <xdr:rowOff>20112</xdr:rowOff>
    </xdr:from>
    <xdr:to>
      <xdr:col>8</xdr:col>
      <xdr:colOff>1320799</xdr:colOff>
      <xdr:row>22</xdr:row>
      <xdr:rowOff>172512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5400000">
          <a:off x="8269287" y="4463524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614892</xdr:colOff>
      <xdr:row>20</xdr:row>
      <xdr:rowOff>17994</xdr:rowOff>
    </xdr:from>
    <xdr:to>
      <xdr:col>6</xdr:col>
      <xdr:colOff>1043517</xdr:colOff>
      <xdr:row>20</xdr:row>
      <xdr:rowOff>170394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 rot="5400000">
          <a:off x="5925080" y="4042306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498476</xdr:colOff>
      <xdr:row>18</xdr:row>
      <xdr:rowOff>17993</xdr:rowOff>
    </xdr:from>
    <xdr:to>
      <xdr:col>5</xdr:col>
      <xdr:colOff>927101</xdr:colOff>
      <xdr:row>18</xdr:row>
      <xdr:rowOff>170393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 rot="5400000">
          <a:off x="4846639" y="3623205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614892</xdr:colOff>
      <xdr:row>20</xdr:row>
      <xdr:rowOff>17994</xdr:rowOff>
    </xdr:from>
    <xdr:to>
      <xdr:col>6</xdr:col>
      <xdr:colOff>1043517</xdr:colOff>
      <xdr:row>20</xdr:row>
      <xdr:rowOff>170394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 rot="5400000">
          <a:off x="5925080" y="4042306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0033"/>
  </sheetPr>
  <dimension ref="B1:P48"/>
  <sheetViews>
    <sheetView tabSelected="1" zoomScale="90" zoomScaleNormal="90" workbookViewId="0"/>
  </sheetViews>
  <sheetFormatPr baseColWidth="10" defaultRowHeight="15.75" x14ac:dyDescent="0.25"/>
  <cols>
    <col min="1" max="1" width="3.7109375" style="1" customWidth="1"/>
    <col min="2" max="2" width="4" style="1" bestFit="1" customWidth="1"/>
    <col min="3" max="3" width="28.140625" style="1" bestFit="1" customWidth="1"/>
    <col min="4" max="4" width="16.28515625" style="1" bestFit="1" customWidth="1"/>
    <col min="5" max="5" width="15.5703125" style="1" bestFit="1" customWidth="1"/>
    <col min="6" max="6" width="14.42578125" style="1" bestFit="1" customWidth="1"/>
    <col min="7" max="7" width="16.28515625" style="1" bestFit="1" customWidth="1"/>
    <col min="8" max="8" width="14.7109375" style="1" bestFit="1" customWidth="1"/>
    <col min="9" max="9" width="20.42578125" style="1" bestFit="1" customWidth="1"/>
    <col min="10" max="10" width="14.42578125" style="1" bestFit="1" customWidth="1"/>
    <col min="11" max="11" width="17.140625" style="1" bestFit="1" customWidth="1"/>
    <col min="12" max="12" width="16.85546875" style="1" bestFit="1" customWidth="1"/>
    <col min="13" max="13" width="16.28515625" style="1" bestFit="1" customWidth="1"/>
    <col min="14" max="14" width="2.85546875" style="1" customWidth="1"/>
    <col min="15" max="15" width="10.7109375" style="1" bestFit="1" customWidth="1"/>
    <col min="16" max="16" width="14.42578125" style="1" bestFit="1" customWidth="1"/>
    <col min="17" max="16384" width="11.42578125" style="1"/>
  </cols>
  <sheetData>
    <row r="1" spans="2:16" ht="16.5" thickBot="1" x14ac:dyDescent="0.3"/>
    <row r="2" spans="2:16" ht="16.5" thickBot="1" x14ac:dyDescent="0.3">
      <c r="C2" s="2" t="s">
        <v>49</v>
      </c>
    </row>
    <row r="3" spans="2:16" x14ac:dyDescent="0.25">
      <c r="C3" s="3"/>
      <c r="D3" s="4"/>
      <c r="E3" s="3"/>
      <c r="F3" s="5" t="s">
        <v>4</v>
      </c>
      <c r="G3" s="6" t="s">
        <v>3</v>
      </c>
      <c r="H3" s="5" t="s">
        <v>2</v>
      </c>
      <c r="I3" s="7" t="s">
        <v>1</v>
      </c>
      <c r="J3" s="5" t="s">
        <v>10</v>
      </c>
      <c r="K3" s="6" t="s">
        <v>11</v>
      </c>
      <c r="L3" s="8" t="s">
        <v>12</v>
      </c>
      <c r="M3" s="9" t="s">
        <v>13</v>
      </c>
      <c r="O3" s="101"/>
      <c r="P3" s="101"/>
    </row>
    <row r="4" spans="2:16" ht="16.5" thickBot="1" x14ac:dyDescent="0.3">
      <c r="B4" s="10" t="s">
        <v>14</v>
      </c>
      <c r="C4" s="11" t="s">
        <v>15</v>
      </c>
      <c r="D4" s="12" t="s">
        <v>16</v>
      </c>
      <c r="E4" s="11" t="s">
        <v>5</v>
      </c>
      <c r="F4" s="12" t="s">
        <v>50</v>
      </c>
      <c r="G4" s="12" t="s">
        <v>51</v>
      </c>
      <c r="H4" s="12" t="s">
        <v>52</v>
      </c>
      <c r="I4" s="13" t="s">
        <v>53</v>
      </c>
      <c r="J4" s="12" t="s">
        <v>54</v>
      </c>
      <c r="K4" s="11" t="s">
        <v>55</v>
      </c>
      <c r="L4" s="12" t="s">
        <v>56</v>
      </c>
      <c r="M4" s="14" t="s">
        <v>57</v>
      </c>
      <c r="O4" s="101" t="s">
        <v>122</v>
      </c>
      <c r="P4" s="101" t="s">
        <v>123</v>
      </c>
    </row>
    <row r="5" spans="2:16" ht="16.5" thickBot="1" x14ac:dyDescent="0.3">
      <c r="B5" s="1" t="s">
        <v>17</v>
      </c>
      <c r="C5" s="15" t="s">
        <v>6</v>
      </c>
      <c r="D5" s="16">
        <v>43000</v>
      </c>
      <c r="E5" s="15" t="s">
        <v>114</v>
      </c>
      <c r="F5" s="17">
        <v>6000</v>
      </c>
      <c r="G5" s="18">
        <v>4000</v>
      </c>
      <c r="H5" s="17">
        <v>5000</v>
      </c>
      <c r="I5" s="19">
        <v>3000</v>
      </c>
      <c r="J5" s="17">
        <v>12000</v>
      </c>
      <c r="K5" s="18">
        <v>10000</v>
      </c>
      <c r="L5" s="17">
        <v>2000</v>
      </c>
      <c r="M5" s="20">
        <v>1000</v>
      </c>
      <c r="O5" s="102"/>
      <c r="P5" s="101"/>
    </row>
    <row r="6" spans="2:16" ht="16.5" thickBot="1" x14ac:dyDescent="0.3">
      <c r="B6" s="1" t="s">
        <v>18</v>
      </c>
      <c r="C6" s="21" t="s">
        <v>7</v>
      </c>
      <c r="D6" s="22">
        <v>184000</v>
      </c>
      <c r="E6" s="15" t="s">
        <v>115</v>
      </c>
      <c r="F6" s="23">
        <v>35000</v>
      </c>
      <c r="G6" s="24">
        <v>28000</v>
      </c>
      <c r="H6" s="23">
        <v>19000</v>
      </c>
      <c r="I6" s="25">
        <v>13000</v>
      </c>
      <c r="J6" s="23">
        <v>45000</v>
      </c>
      <c r="K6" s="24">
        <v>38000</v>
      </c>
      <c r="L6" s="23">
        <v>0</v>
      </c>
      <c r="M6" s="26">
        <v>6000</v>
      </c>
      <c r="O6" s="102"/>
      <c r="P6" s="101"/>
    </row>
    <row r="7" spans="2:16" ht="16.5" thickBot="1" x14ac:dyDescent="0.3">
      <c r="B7" s="1" t="s">
        <v>19</v>
      </c>
      <c r="C7" s="27" t="s">
        <v>20</v>
      </c>
      <c r="D7" s="22">
        <v>210000</v>
      </c>
      <c r="E7" s="15" t="s">
        <v>116</v>
      </c>
      <c r="F7" s="23">
        <v>32000</v>
      </c>
      <c r="G7" s="24">
        <v>17000</v>
      </c>
      <c r="H7" s="23">
        <v>25000</v>
      </c>
      <c r="I7" s="25">
        <v>8000</v>
      </c>
      <c r="J7" s="23">
        <v>36000</v>
      </c>
      <c r="K7" s="24">
        <v>31000</v>
      </c>
      <c r="L7" s="23">
        <v>46000</v>
      </c>
      <c r="M7" s="26">
        <v>15000</v>
      </c>
      <c r="O7" s="102"/>
      <c r="P7" s="101"/>
    </row>
    <row r="8" spans="2:16" ht="16.5" thickBot="1" x14ac:dyDescent="0.3">
      <c r="B8" s="1" t="s">
        <v>21</v>
      </c>
      <c r="C8" s="15" t="s">
        <v>22</v>
      </c>
      <c r="D8" s="16">
        <v>87500</v>
      </c>
      <c r="E8" s="15" t="s">
        <v>114</v>
      </c>
      <c r="F8" s="17">
        <v>14000</v>
      </c>
      <c r="G8" s="18">
        <v>14000</v>
      </c>
      <c r="H8" s="17">
        <v>7000</v>
      </c>
      <c r="I8" s="19">
        <v>14000</v>
      </c>
      <c r="J8" s="17">
        <v>17500</v>
      </c>
      <c r="K8" s="18">
        <v>14000</v>
      </c>
      <c r="L8" s="17">
        <v>3500</v>
      </c>
      <c r="M8" s="20">
        <v>3500</v>
      </c>
      <c r="O8" s="102"/>
      <c r="P8" s="101"/>
    </row>
    <row r="9" spans="2:16" ht="16.5" thickBot="1" x14ac:dyDescent="0.3">
      <c r="B9" s="1" t="s">
        <v>24</v>
      </c>
      <c r="C9" s="21" t="s">
        <v>58</v>
      </c>
      <c r="D9" s="22">
        <v>52000</v>
      </c>
      <c r="E9" s="15" t="s">
        <v>23</v>
      </c>
      <c r="F9" s="23">
        <f>$D$9/$O$9*1</f>
        <v>4000</v>
      </c>
      <c r="G9" s="23">
        <f>$D$9/$O$9*1</f>
        <v>4000</v>
      </c>
      <c r="H9" s="23">
        <f>$D$9/$O$9*2</f>
        <v>8000</v>
      </c>
      <c r="I9" s="23">
        <f>$D$9/$O$9*0</f>
        <v>0</v>
      </c>
      <c r="J9" s="23">
        <f>$D$9/$O$9*1</f>
        <v>4000</v>
      </c>
      <c r="K9" s="23">
        <f>$D$9/$O$9*1</f>
        <v>4000</v>
      </c>
      <c r="L9" s="23">
        <f>$D$9/$O$9*3</f>
        <v>12000</v>
      </c>
      <c r="M9" s="23">
        <f>$D$9/$O$9*4</f>
        <v>16000</v>
      </c>
      <c r="O9" s="103">
        <f>1+1+2+0+1+1+3+4</f>
        <v>13</v>
      </c>
      <c r="P9" s="102">
        <f>SUM(F9:M9)</f>
        <v>52000</v>
      </c>
    </row>
    <row r="10" spans="2:16" ht="16.5" thickBot="1" x14ac:dyDescent="0.3">
      <c r="B10" s="1" t="s">
        <v>25</v>
      </c>
      <c r="C10" s="15" t="s">
        <v>26</v>
      </c>
      <c r="D10" s="16">
        <v>94000</v>
      </c>
      <c r="E10" s="15" t="s">
        <v>114</v>
      </c>
      <c r="F10" s="17">
        <v>9000</v>
      </c>
      <c r="G10" s="18">
        <v>8000</v>
      </c>
      <c r="H10" s="17">
        <v>7000</v>
      </c>
      <c r="I10" s="19">
        <v>5000</v>
      </c>
      <c r="J10" s="17">
        <v>12000</v>
      </c>
      <c r="K10" s="18">
        <v>11000</v>
      </c>
      <c r="L10" s="17">
        <v>24000</v>
      </c>
      <c r="M10" s="20">
        <v>18000</v>
      </c>
      <c r="O10" s="102"/>
      <c r="P10" s="101"/>
    </row>
    <row r="11" spans="2:16" ht="16.5" thickBot="1" x14ac:dyDescent="0.3">
      <c r="B11" s="1" t="s">
        <v>27</v>
      </c>
      <c r="C11" s="21" t="s">
        <v>0</v>
      </c>
      <c r="D11" s="22">
        <v>518000</v>
      </c>
      <c r="E11" s="15" t="s">
        <v>117</v>
      </c>
      <c r="F11" s="23">
        <v>68000</v>
      </c>
      <c r="G11" s="24">
        <v>37000</v>
      </c>
      <c r="H11" s="23">
        <v>42000</v>
      </c>
      <c r="I11" s="25">
        <v>18000</v>
      </c>
      <c r="J11" s="23">
        <v>84000</v>
      </c>
      <c r="K11" s="24">
        <v>76000</v>
      </c>
      <c r="L11" s="23">
        <v>154000</v>
      </c>
      <c r="M11" s="26">
        <v>39000</v>
      </c>
      <c r="O11" s="102"/>
      <c r="P11" s="101"/>
    </row>
    <row r="12" spans="2:16" ht="16.5" thickBot="1" x14ac:dyDescent="0.3">
      <c r="B12" s="1" t="s">
        <v>28</v>
      </c>
      <c r="C12" s="27" t="s">
        <v>9</v>
      </c>
      <c r="D12" s="22">
        <v>48000</v>
      </c>
      <c r="E12" s="15" t="s">
        <v>111</v>
      </c>
      <c r="F12" s="23">
        <f>$D$12/$O$12*8</f>
        <v>3000</v>
      </c>
      <c r="G12" s="23">
        <f>$D$12/$O$12*8</f>
        <v>3000</v>
      </c>
      <c r="H12" s="23">
        <f>$D$12/$O$12*16</f>
        <v>6000</v>
      </c>
      <c r="I12" s="23">
        <f>$D$12/$O$12*16</f>
        <v>6000</v>
      </c>
      <c r="J12" s="23">
        <f>$D$12/$O$12*16</f>
        <v>6000</v>
      </c>
      <c r="K12" s="23">
        <f>$D$12/$O$12*16</f>
        <v>6000</v>
      </c>
      <c r="L12" s="23">
        <f>$D$12/$O$12*32</f>
        <v>12000</v>
      </c>
      <c r="M12" s="23">
        <f>$D$12/$O$12*16</f>
        <v>6000</v>
      </c>
      <c r="O12" s="103">
        <f>8+8+16+16+16+16+32+16</f>
        <v>128</v>
      </c>
      <c r="P12" s="102">
        <f>SUM(F12:M12)</f>
        <v>48000</v>
      </c>
    </row>
    <row r="13" spans="2:16" ht="18.75" thickBot="1" x14ac:dyDescent="0.3">
      <c r="B13" s="1" t="s">
        <v>29</v>
      </c>
      <c r="C13" s="27" t="s">
        <v>59</v>
      </c>
      <c r="D13" s="22">
        <v>28000</v>
      </c>
      <c r="E13" s="15" t="s">
        <v>112</v>
      </c>
      <c r="F13" s="23">
        <f>$D$13/$O$13*140</f>
        <v>2000</v>
      </c>
      <c r="G13" s="23">
        <f>$D$13/$O$13*280</f>
        <v>4000</v>
      </c>
      <c r="H13" s="23">
        <f>$D$13/$O$13*140</f>
        <v>2000</v>
      </c>
      <c r="I13" s="23">
        <f>$D$13/$O$13*140</f>
        <v>2000</v>
      </c>
      <c r="J13" s="23">
        <f>$D$13/$O$13*420</f>
        <v>6000</v>
      </c>
      <c r="K13" s="23">
        <f>$D$13/$O$13*420</f>
        <v>6000</v>
      </c>
      <c r="L13" s="23">
        <f>$D$13/$O$13*280</f>
        <v>4000</v>
      </c>
      <c r="M13" s="23">
        <f>$D$13/$O$13*140</f>
        <v>2000</v>
      </c>
      <c r="O13" s="103">
        <f>140+280+140+140+420+420+280+140</f>
        <v>1960</v>
      </c>
      <c r="P13" s="102">
        <f>SUM(F13:M13)</f>
        <v>28000</v>
      </c>
    </row>
    <row r="14" spans="2:16" ht="16.5" thickBot="1" x14ac:dyDescent="0.3">
      <c r="B14" s="1" t="s">
        <v>60</v>
      </c>
      <c r="C14" s="27" t="s">
        <v>61</v>
      </c>
      <c r="D14" s="22">
        <v>165000</v>
      </c>
      <c r="E14" s="15" t="s">
        <v>110</v>
      </c>
      <c r="F14" s="23">
        <f>$D$14/$O$14*300</f>
        <v>33000</v>
      </c>
      <c r="G14" s="23">
        <f>$D$14/$O$14*200</f>
        <v>22000</v>
      </c>
      <c r="H14" s="23">
        <f>$D$14/$O$14*100</f>
        <v>11000</v>
      </c>
      <c r="I14" s="42">
        <f>$D$14/$O$14*100</f>
        <v>11000</v>
      </c>
      <c r="J14" s="23">
        <f>$D$14/$O$14*300</f>
        <v>33000</v>
      </c>
      <c r="K14" s="23">
        <f>$D$14/$O$14*300</f>
        <v>33000</v>
      </c>
      <c r="L14" s="23">
        <f>$D$14/$O$14*100</f>
        <v>11000</v>
      </c>
      <c r="M14" s="23">
        <f>$D$14/$O$14*100</f>
        <v>11000</v>
      </c>
      <c r="O14" s="103">
        <f>300+200+100+100+300+300+100+100</f>
        <v>1500</v>
      </c>
      <c r="P14" s="102">
        <f>SUM(F14:M14)</f>
        <v>165000</v>
      </c>
    </row>
    <row r="15" spans="2:16" ht="16.5" thickBot="1" x14ac:dyDescent="0.3">
      <c r="B15" s="1" t="s">
        <v>62</v>
      </c>
      <c r="C15" s="15" t="s">
        <v>8</v>
      </c>
      <c r="D15" s="16">
        <v>116000</v>
      </c>
      <c r="E15" s="15" t="s">
        <v>118</v>
      </c>
      <c r="F15" s="28">
        <v>34000</v>
      </c>
      <c r="G15" s="28">
        <v>12000</v>
      </c>
      <c r="H15" s="28">
        <v>2000</v>
      </c>
      <c r="I15" s="28">
        <v>8000</v>
      </c>
      <c r="J15" s="28">
        <v>27000</v>
      </c>
      <c r="K15" s="28">
        <v>25000</v>
      </c>
      <c r="L15" s="28">
        <v>6000</v>
      </c>
      <c r="M15" s="28">
        <v>2000</v>
      </c>
      <c r="O15" s="102"/>
      <c r="P15" s="101"/>
    </row>
    <row r="16" spans="2:16" ht="16.5" thickBot="1" x14ac:dyDescent="0.3">
      <c r="C16" s="29" t="s">
        <v>32</v>
      </c>
      <c r="D16" s="30">
        <f>SUM(D5:D15)</f>
        <v>1545500</v>
      </c>
      <c r="E16" s="31"/>
      <c r="F16" s="32">
        <f t="shared" ref="F16:M16" si="0">SUM(F5:F15)</f>
        <v>240000</v>
      </c>
      <c r="G16" s="33">
        <f t="shared" si="0"/>
        <v>153000</v>
      </c>
      <c r="H16" s="34">
        <f t="shared" si="0"/>
        <v>134000</v>
      </c>
      <c r="I16" s="35">
        <f t="shared" si="0"/>
        <v>88000</v>
      </c>
      <c r="J16" s="34">
        <f t="shared" si="0"/>
        <v>282500</v>
      </c>
      <c r="K16" s="35">
        <f t="shared" si="0"/>
        <v>254000</v>
      </c>
      <c r="L16" s="35">
        <f t="shared" si="0"/>
        <v>274500</v>
      </c>
      <c r="M16" s="33">
        <f t="shared" si="0"/>
        <v>119500</v>
      </c>
      <c r="O16" s="102"/>
      <c r="P16" s="104"/>
    </row>
    <row r="17" spans="2:16" ht="16.5" thickBot="1" x14ac:dyDescent="0.3">
      <c r="F17" s="37" t="s">
        <v>63</v>
      </c>
      <c r="G17" s="38">
        <f>$F$16/20*1</f>
        <v>12000</v>
      </c>
      <c r="H17" s="38">
        <f t="shared" ref="H17:M17" si="1">$F$16/20*1</f>
        <v>12000</v>
      </c>
      <c r="I17" s="38">
        <f>$F$16/20*3</f>
        <v>36000</v>
      </c>
      <c r="J17" s="38">
        <f>$F$16/20*6</f>
        <v>72000</v>
      </c>
      <c r="K17" s="38">
        <f>$F$16/20*5</f>
        <v>60000</v>
      </c>
      <c r="L17" s="38">
        <f>$F$16/20*3</f>
        <v>36000</v>
      </c>
      <c r="M17" s="38">
        <f t="shared" si="1"/>
        <v>12000</v>
      </c>
      <c r="O17" s="101"/>
      <c r="P17" s="101"/>
    </row>
    <row r="18" spans="2:16" ht="16.5" thickBot="1" x14ac:dyDescent="0.3">
      <c r="C18" s="29" t="s">
        <v>32</v>
      </c>
      <c r="D18" s="31"/>
      <c r="E18" s="31"/>
      <c r="F18" s="31"/>
      <c r="G18" s="33">
        <f t="shared" ref="G18:M18" si="2">SUM(G16:G17)</f>
        <v>165000</v>
      </c>
      <c r="H18" s="39">
        <f t="shared" si="2"/>
        <v>146000</v>
      </c>
      <c r="I18" s="40">
        <f t="shared" si="2"/>
        <v>124000</v>
      </c>
      <c r="J18" s="39">
        <f t="shared" si="2"/>
        <v>354500</v>
      </c>
      <c r="K18" s="40">
        <f t="shared" si="2"/>
        <v>314000</v>
      </c>
      <c r="L18" s="40">
        <f t="shared" si="2"/>
        <v>310500</v>
      </c>
      <c r="M18" s="41">
        <f t="shared" si="2"/>
        <v>131500</v>
      </c>
      <c r="O18" s="101"/>
      <c r="P18" s="101"/>
    </row>
    <row r="19" spans="2:16" ht="16.5" thickBot="1" x14ac:dyDescent="0.3">
      <c r="G19" s="37" t="s">
        <v>63</v>
      </c>
      <c r="H19" s="38">
        <f>$G$18/22*4</f>
        <v>30000</v>
      </c>
      <c r="I19" s="42">
        <f>$G$18/22*2</f>
        <v>15000</v>
      </c>
      <c r="J19" s="42">
        <f>$G$18/22*3</f>
        <v>22500</v>
      </c>
      <c r="K19" s="42">
        <f>$G$18/22*2</f>
        <v>15000</v>
      </c>
      <c r="L19" s="42">
        <f>$G$18/22*5</f>
        <v>37500</v>
      </c>
      <c r="M19" s="43">
        <f>$G$18/22*6</f>
        <v>45000</v>
      </c>
      <c r="O19" s="101"/>
      <c r="P19" s="101"/>
    </row>
    <row r="20" spans="2:16" ht="16.5" thickBot="1" x14ac:dyDescent="0.3">
      <c r="C20" s="29" t="s">
        <v>32</v>
      </c>
      <c r="D20" s="31"/>
      <c r="E20" s="31"/>
      <c r="F20" s="31"/>
      <c r="G20" s="31"/>
      <c r="H20" s="39">
        <f t="shared" ref="H20:M20" si="3">SUM(H18:H19)</f>
        <v>176000</v>
      </c>
      <c r="I20" s="40">
        <f t="shared" si="3"/>
        <v>139000</v>
      </c>
      <c r="J20" s="39">
        <f t="shared" si="3"/>
        <v>377000</v>
      </c>
      <c r="K20" s="40">
        <f t="shared" si="3"/>
        <v>329000</v>
      </c>
      <c r="L20" s="40">
        <f t="shared" si="3"/>
        <v>348000</v>
      </c>
      <c r="M20" s="41">
        <f t="shared" si="3"/>
        <v>176500</v>
      </c>
      <c r="O20" s="101"/>
      <c r="P20" s="101"/>
    </row>
    <row r="21" spans="2:16" ht="16.5" thickBot="1" x14ac:dyDescent="0.3">
      <c r="I21" s="37" t="s">
        <v>63</v>
      </c>
      <c r="J21" s="44">
        <f>I20/5*3</f>
        <v>83400</v>
      </c>
      <c r="K21" s="45">
        <f>I20/5*2</f>
        <v>55600</v>
      </c>
      <c r="L21" s="46"/>
      <c r="M21" s="43"/>
      <c r="O21" s="101"/>
      <c r="P21" s="101"/>
    </row>
    <row r="22" spans="2:16" x14ac:dyDescent="0.25">
      <c r="J22" s="47">
        <f>SUM(J20:J21)</f>
        <v>460400</v>
      </c>
      <c r="K22" s="48">
        <f>SUM(K20:K21)</f>
        <v>384600</v>
      </c>
      <c r="L22" s="49"/>
      <c r="M22" s="49"/>
      <c r="O22" s="101"/>
      <c r="P22" s="101"/>
    </row>
    <row r="23" spans="2:16" x14ac:dyDescent="0.25">
      <c r="C23" s="50" t="s">
        <v>30</v>
      </c>
      <c r="D23" s="51"/>
      <c r="E23" s="51"/>
      <c r="F23" s="51"/>
      <c r="G23" s="51"/>
      <c r="H23" s="51">
        <v>1100000</v>
      </c>
      <c r="I23" s="51"/>
      <c r="J23" s="52">
        <v>18000</v>
      </c>
      <c r="K23" s="52">
        <v>200000</v>
      </c>
      <c r="L23" s="53">
        <f>E45</f>
        <v>2183000</v>
      </c>
      <c r="M23" s="54">
        <f>E45</f>
        <v>2183000</v>
      </c>
      <c r="O23" s="101"/>
      <c r="P23" s="101"/>
    </row>
    <row r="24" spans="2:16" x14ac:dyDescent="0.25">
      <c r="C24" s="50"/>
      <c r="D24" s="55"/>
      <c r="E24" s="55"/>
      <c r="F24" s="55"/>
      <c r="G24" s="55"/>
      <c r="H24" s="50"/>
      <c r="I24" s="55"/>
      <c r="J24" s="50"/>
      <c r="K24" s="50"/>
      <c r="L24" s="50"/>
      <c r="M24" s="56"/>
      <c r="O24" s="101"/>
      <c r="P24" s="101"/>
    </row>
    <row r="25" spans="2:16" x14ac:dyDescent="0.25">
      <c r="C25" s="50" t="s">
        <v>31</v>
      </c>
      <c r="D25" s="50"/>
      <c r="E25" s="50"/>
      <c r="F25" s="50"/>
      <c r="G25" s="50"/>
      <c r="H25" s="57">
        <f>H20/H23</f>
        <v>0.16</v>
      </c>
      <c r="I25" s="50"/>
      <c r="J25" s="57">
        <f>J22/J23</f>
        <v>25.577777777777779</v>
      </c>
      <c r="K25" s="57">
        <f>K22/K23</f>
        <v>1.923</v>
      </c>
      <c r="L25" s="57">
        <f>L20/L23</f>
        <v>0.15941365093907467</v>
      </c>
      <c r="M25" s="58">
        <f>M20/M23</f>
        <v>8.0852038479157118E-2</v>
      </c>
      <c r="O25" s="101"/>
      <c r="P25" s="101"/>
    </row>
    <row r="26" spans="2:16" x14ac:dyDescent="0.25">
      <c r="G26" s="36"/>
    </row>
    <row r="29" spans="2:16" x14ac:dyDescent="0.25">
      <c r="B29" s="59" t="s">
        <v>64</v>
      </c>
      <c r="C29" s="60" t="s">
        <v>65</v>
      </c>
      <c r="D29" s="61"/>
      <c r="E29" s="61"/>
    </row>
    <row r="30" spans="2:16" x14ac:dyDescent="0.25">
      <c r="B30" s="62" t="s">
        <v>17</v>
      </c>
      <c r="C30" s="63" t="s">
        <v>66</v>
      </c>
      <c r="D30" s="64"/>
      <c r="E30" s="65">
        <f>H23</f>
        <v>1100000</v>
      </c>
    </row>
    <row r="31" spans="2:16" x14ac:dyDescent="0.25">
      <c r="B31" s="62" t="s">
        <v>18</v>
      </c>
      <c r="C31" s="66" t="s">
        <v>67</v>
      </c>
      <c r="D31" s="67"/>
      <c r="E31" s="68">
        <f>E30*H25</f>
        <v>176000</v>
      </c>
    </row>
    <row r="32" spans="2:16" x14ac:dyDescent="0.25">
      <c r="B32" s="69" t="s">
        <v>19</v>
      </c>
      <c r="C32" s="70" t="s">
        <v>68</v>
      </c>
      <c r="D32" s="71"/>
      <c r="E32" s="72">
        <f>SUM(E30:E31)</f>
        <v>1276000</v>
      </c>
    </row>
    <row r="33" spans="2:9" x14ac:dyDescent="0.25">
      <c r="B33" s="62" t="s">
        <v>21</v>
      </c>
      <c r="C33" s="63" t="s">
        <v>69</v>
      </c>
      <c r="D33" s="64"/>
      <c r="E33" s="65">
        <f>J23</f>
        <v>18000</v>
      </c>
    </row>
    <row r="34" spans="2:9" x14ac:dyDescent="0.25">
      <c r="B34" s="62" t="s">
        <v>24</v>
      </c>
      <c r="C34" s="66" t="s">
        <v>70</v>
      </c>
      <c r="D34" s="73"/>
      <c r="E34" s="74">
        <f>E33*J25</f>
        <v>460400</v>
      </c>
    </row>
    <row r="35" spans="2:9" x14ac:dyDescent="0.25">
      <c r="B35" s="69" t="s">
        <v>25</v>
      </c>
      <c r="C35" s="70" t="s">
        <v>71</v>
      </c>
      <c r="D35" s="71"/>
      <c r="E35" s="72">
        <f>SUM(E33:E34)</f>
        <v>478400</v>
      </c>
    </row>
    <row r="36" spans="2:9" x14ac:dyDescent="0.25">
      <c r="B36" s="62" t="s">
        <v>27</v>
      </c>
      <c r="C36" s="63" t="s">
        <v>69</v>
      </c>
      <c r="D36" s="64"/>
      <c r="E36" s="65">
        <f>K23</f>
        <v>200000</v>
      </c>
    </row>
    <row r="37" spans="2:9" x14ac:dyDescent="0.25">
      <c r="B37" s="62" t="s">
        <v>28</v>
      </c>
      <c r="C37" s="66" t="s">
        <v>70</v>
      </c>
      <c r="D37" s="73"/>
      <c r="E37" s="74">
        <f>E36*K25</f>
        <v>384600</v>
      </c>
    </row>
    <row r="38" spans="2:9" x14ac:dyDescent="0.25">
      <c r="B38" s="69" t="s">
        <v>29</v>
      </c>
      <c r="C38" s="70" t="s">
        <v>72</v>
      </c>
      <c r="D38" s="71"/>
      <c r="E38" s="72">
        <f>SUM(E36:E37)</f>
        <v>584600</v>
      </c>
    </row>
    <row r="39" spans="2:9" ht="16.5" thickBot="1" x14ac:dyDescent="0.3">
      <c r="B39" s="62" t="s">
        <v>60</v>
      </c>
      <c r="C39" s="75" t="s">
        <v>73</v>
      </c>
      <c r="D39" s="76"/>
      <c r="E39" s="77">
        <f>E32+E35+E38</f>
        <v>2339000</v>
      </c>
    </row>
    <row r="40" spans="2:9" x14ac:dyDescent="0.25">
      <c r="B40" s="62" t="s">
        <v>62</v>
      </c>
      <c r="C40" s="78" t="s">
        <v>74</v>
      </c>
      <c r="D40" s="64"/>
      <c r="E40" s="65">
        <v>0</v>
      </c>
      <c r="G40" s="99"/>
    </row>
    <row r="41" spans="2:9" x14ac:dyDescent="0.25">
      <c r="B41" s="69" t="s">
        <v>75</v>
      </c>
      <c r="C41" s="78" t="s">
        <v>76</v>
      </c>
      <c r="D41" s="64"/>
      <c r="E41" s="65">
        <v>0</v>
      </c>
      <c r="G41" s="99"/>
    </row>
    <row r="42" spans="2:9" x14ac:dyDescent="0.25">
      <c r="B42" s="62" t="s">
        <v>77</v>
      </c>
      <c r="C42" s="70" t="s">
        <v>78</v>
      </c>
      <c r="D42" s="71"/>
      <c r="E42" s="72">
        <f>SUM(E40:E41)</f>
        <v>0</v>
      </c>
    </row>
    <row r="43" spans="2:9" x14ac:dyDescent="0.25">
      <c r="B43" s="62" t="s">
        <v>79</v>
      </c>
      <c r="C43" s="78" t="s">
        <v>80</v>
      </c>
      <c r="D43" s="64"/>
      <c r="E43" s="65">
        <v>100000</v>
      </c>
      <c r="G43" s="99"/>
    </row>
    <row r="44" spans="2:9" x14ac:dyDescent="0.25">
      <c r="B44" s="69" t="s">
        <v>81</v>
      </c>
      <c r="C44" s="78" t="s">
        <v>82</v>
      </c>
      <c r="D44" s="64"/>
      <c r="E44" s="65">
        <v>-256000</v>
      </c>
      <c r="G44" s="99"/>
      <c r="I44" s="100"/>
    </row>
    <row r="45" spans="2:9" ht="16.5" thickBot="1" x14ac:dyDescent="0.3">
      <c r="B45" s="62" t="s">
        <v>83</v>
      </c>
      <c r="C45" s="79" t="s">
        <v>84</v>
      </c>
      <c r="D45" s="80"/>
      <c r="E45" s="81">
        <f>E39+E42+E43+E44</f>
        <v>2183000</v>
      </c>
    </row>
    <row r="46" spans="2:9" x14ac:dyDescent="0.25">
      <c r="B46" s="62" t="s">
        <v>85</v>
      </c>
      <c r="C46" s="82" t="s">
        <v>86</v>
      </c>
      <c r="D46" s="67"/>
      <c r="E46" s="68">
        <f>E45*L25</f>
        <v>348000</v>
      </c>
    </row>
    <row r="47" spans="2:9" x14ac:dyDescent="0.25">
      <c r="B47" s="69" t="s">
        <v>87</v>
      </c>
      <c r="C47" s="82" t="s">
        <v>88</v>
      </c>
      <c r="D47" s="73"/>
      <c r="E47" s="74">
        <f>E45*M25</f>
        <v>176500</v>
      </c>
    </row>
    <row r="48" spans="2:9" ht="16.5" thickBot="1" x14ac:dyDescent="0.3">
      <c r="B48" s="62" t="s">
        <v>89</v>
      </c>
      <c r="C48" s="83" t="s">
        <v>90</v>
      </c>
      <c r="D48" s="84"/>
      <c r="E48" s="85">
        <f>SUM(E45:E47)</f>
        <v>2707500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0033"/>
  </sheetPr>
  <dimension ref="B2:H41"/>
  <sheetViews>
    <sheetView workbookViewId="0"/>
  </sheetViews>
  <sheetFormatPr baseColWidth="10" defaultRowHeight="15.75" x14ac:dyDescent="0.25"/>
  <cols>
    <col min="1" max="1" width="2.85546875" style="92" customWidth="1"/>
    <col min="2" max="2" width="20.85546875" style="94" bestFit="1" customWidth="1"/>
    <col min="3" max="3" width="17.28515625" style="89" customWidth="1"/>
    <col min="4" max="4" width="17.140625" style="90" customWidth="1"/>
    <col min="5" max="5" width="24.7109375" style="91" bestFit="1" customWidth="1"/>
    <col min="6" max="16384" width="11.42578125" style="92"/>
  </cols>
  <sheetData>
    <row r="2" spans="2:7" x14ac:dyDescent="0.25">
      <c r="B2" s="198" t="s">
        <v>139</v>
      </c>
      <c r="C2" s="199"/>
      <c r="D2" s="200"/>
      <c r="E2" s="201"/>
    </row>
    <row r="3" spans="2:7" ht="31.5" x14ac:dyDescent="0.25">
      <c r="B3" s="202"/>
      <c r="C3" s="254" t="s">
        <v>31</v>
      </c>
      <c r="D3" s="255" t="s">
        <v>137</v>
      </c>
      <c r="E3" s="256" t="s">
        <v>138</v>
      </c>
    </row>
    <row r="4" spans="2:7" x14ac:dyDescent="0.25">
      <c r="B4" s="206" t="s">
        <v>33</v>
      </c>
      <c r="C4" s="207"/>
      <c r="D4" s="208">
        <v>55</v>
      </c>
      <c r="E4" s="209"/>
    </row>
    <row r="5" spans="2:7" x14ac:dyDescent="0.25">
      <c r="B5" s="206" t="s">
        <v>34</v>
      </c>
      <c r="C5" s="210">
        <f>'BAB November'!H25</f>
        <v>0.16</v>
      </c>
      <c r="D5" s="208">
        <f>D4*C5</f>
        <v>8.8000000000000007</v>
      </c>
      <c r="E5" s="209"/>
    </row>
    <row r="6" spans="2:7" x14ac:dyDescent="0.25">
      <c r="B6" s="206" t="s">
        <v>35</v>
      </c>
      <c r="C6" s="210"/>
      <c r="D6" s="208"/>
      <c r="E6" s="209">
        <f>D4+D5</f>
        <v>63.8</v>
      </c>
      <c r="G6" s="93"/>
    </row>
    <row r="7" spans="2:7" x14ac:dyDescent="0.25">
      <c r="B7" s="202"/>
      <c r="C7" s="203"/>
      <c r="D7" s="204"/>
      <c r="E7" s="205"/>
      <c r="G7" s="93"/>
    </row>
    <row r="8" spans="2:7" x14ac:dyDescent="0.25">
      <c r="B8" s="211" t="s">
        <v>91</v>
      </c>
      <c r="C8" s="212"/>
      <c r="D8" s="213">
        <f>25/60/60*129.6</f>
        <v>0.9</v>
      </c>
      <c r="E8" s="214"/>
      <c r="G8" s="93"/>
    </row>
    <row r="9" spans="2:7" x14ac:dyDescent="0.25">
      <c r="B9" s="211" t="s">
        <v>92</v>
      </c>
      <c r="C9" s="215">
        <f>'BAB November'!J25</f>
        <v>25.577777777777779</v>
      </c>
      <c r="D9" s="213">
        <f>D8*C9</f>
        <v>23.020000000000003</v>
      </c>
      <c r="E9" s="214"/>
      <c r="G9" s="93"/>
    </row>
    <row r="10" spans="2:7" x14ac:dyDescent="0.25">
      <c r="B10" s="211" t="s">
        <v>93</v>
      </c>
      <c r="C10" s="212"/>
      <c r="D10" s="213"/>
      <c r="E10" s="214">
        <f>D8+D9</f>
        <v>23.92</v>
      </c>
      <c r="G10" s="93"/>
    </row>
    <row r="11" spans="2:7" x14ac:dyDescent="0.25">
      <c r="B11" s="216"/>
      <c r="C11" s="217"/>
      <c r="D11" s="218"/>
      <c r="E11" s="219"/>
      <c r="G11" s="93"/>
    </row>
    <row r="12" spans="2:7" x14ac:dyDescent="0.25">
      <c r="B12" s="211" t="s">
        <v>94</v>
      </c>
      <c r="C12" s="212"/>
      <c r="D12" s="213">
        <f>0.01*1000</f>
        <v>10</v>
      </c>
      <c r="E12" s="214"/>
      <c r="G12" s="93"/>
    </row>
    <row r="13" spans="2:7" x14ac:dyDescent="0.25">
      <c r="B13" s="211" t="s">
        <v>95</v>
      </c>
      <c r="C13" s="215">
        <f>'BAB November'!K25</f>
        <v>1.923</v>
      </c>
      <c r="D13" s="213">
        <f>D12*C13</f>
        <v>19.23</v>
      </c>
      <c r="E13" s="214"/>
      <c r="G13" s="93"/>
    </row>
    <row r="14" spans="2:7" x14ac:dyDescent="0.25">
      <c r="B14" s="211" t="s">
        <v>96</v>
      </c>
      <c r="C14" s="212"/>
      <c r="D14" s="213"/>
      <c r="E14" s="214">
        <f>D12+D13</f>
        <v>29.23</v>
      </c>
      <c r="G14" s="93"/>
    </row>
    <row r="15" spans="2:7" x14ac:dyDescent="0.25">
      <c r="B15" s="202"/>
      <c r="C15" s="203"/>
      <c r="D15" s="204"/>
      <c r="E15" s="205"/>
      <c r="G15" s="93"/>
    </row>
    <row r="16" spans="2:7" x14ac:dyDescent="0.25">
      <c r="B16" s="220" t="s">
        <v>36</v>
      </c>
      <c r="C16" s="221"/>
      <c r="D16" s="222"/>
      <c r="E16" s="223">
        <f>SUM(E6:E15)</f>
        <v>116.95</v>
      </c>
      <c r="G16" s="93"/>
    </row>
    <row r="17" spans="2:8" x14ac:dyDescent="0.25">
      <c r="B17" s="202"/>
      <c r="C17" s="203"/>
      <c r="D17" s="204"/>
      <c r="E17" s="205"/>
      <c r="G17" s="93"/>
    </row>
    <row r="18" spans="2:8" x14ac:dyDescent="0.25">
      <c r="B18" s="202" t="s">
        <v>38</v>
      </c>
      <c r="C18" s="203"/>
      <c r="D18" s="204"/>
      <c r="E18" s="205">
        <v>0</v>
      </c>
      <c r="G18" s="93"/>
    </row>
    <row r="19" spans="2:8" x14ac:dyDescent="0.25">
      <c r="B19" s="202"/>
      <c r="C19" s="203"/>
      <c r="D19" s="204"/>
      <c r="E19" s="205"/>
      <c r="G19" s="93"/>
    </row>
    <row r="20" spans="2:8" x14ac:dyDescent="0.25">
      <c r="B20" s="224" t="s">
        <v>37</v>
      </c>
      <c r="C20" s="225"/>
      <c r="D20" s="226"/>
      <c r="E20" s="227">
        <f>SUM(E16:E19)</f>
        <v>116.95</v>
      </c>
      <c r="G20" s="93"/>
    </row>
    <row r="21" spans="2:8" x14ac:dyDescent="0.25">
      <c r="B21" s="202"/>
      <c r="C21" s="203"/>
      <c r="D21" s="204"/>
      <c r="E21" s="205"/>
      <c r="G21" s="93"/>
    </row>
    <row r="22" spans="2:8" x14ac:dyDescent="0.25">
      <c r="B22" s="228" t="s">
        <v>39</v>
      </c>
      <c r="C22" s="229">
        <f>'BAB November'!L25</f>
        <v>0.15941365093907467</v>
      </c>
      <c r="D22" s="230">
        <f>E20*C22</f>
        <v>18.643426477324784</v>
      </c>
      <c r="E22" s="231"/>
      <c r="G22" s="93"/>
    </row>
    <row r="23" spans="2:8" x14ac:dyDescent="0.25">
      <c r="B23" s="228" t="s">
        <v>40</v>
      </c>
      <c r="C23" s="229">
        <f>'BAB November'!M25</f>
        <v>8.0852038479157118E-2</v>
      </c>
      <c r="D23" s="230">
        <f>E20*C23</f>
        <v>9.4556459001374247</v>
      </c>
      <c r="E23" s="231"/>
      <c r="G23" s="93"/>
    </row>
    <row r="24" spans="2:8" x14ac:dyDescent="0.25">
      <c r="B24" s="202"/>
      <c r="C24" s="203"/>
      <c r="D24" s="204"/>
      <c r="E24" s="205"/>
      <c r="G24" s="93"/>
    </row>
    <row r="25" spans="2:8" x14ac:dyDescent="0.25">
      <c r="B25" s="232" t="s">
        <v>41</v>
      </c>
      <c r="C25" s="233"/>
      <c r="D25" s="234"/>
      <c r="E25" s="235">
        <f>E20+D22+D23</f>
        <v>145.04907237746221</v>
      </c>
      <c r="G25" s="93"/>
    </row>
    <row r="26" spans="2:8" x14ac:dyDescent="0.25">
      <c r="B26" s="202"/>
      <c r="C26" s="203"/>
      <c r="D26" s="204"/>
      <c r="E26" s="205"/>
      <c r="G26" s="93"/>
    </row>
    <row r="27" spans="2:8" x14ac:dyDescent="0.25">
      <c r="B27" s="236" t="s">
        <v>42</v>
      </c>
      <c r="C27" s="237">
        <v>0.4</v>
      </c>
      <c r="D27" s="238">
        <f>E25*C27</f>
        <v>58.019628950984888</v>
      </c>
      <c r="E27" s="239"/>
      <c r="G27" s="93"/>
    </row>
    <row r="28" spans="2:8" x14ac:dyDescent="0.25">
      <c r="B28" s="202"/>
      <c r="C28" s="203"/>
      <c r="D28" s="204"/>
      <c r="E28" s="205"/>
      <c r="G28" s="93"/>
    </row>
    <row r="29" spans="2:8" x14ac:dyDescent="0.25">
      <c r="B29" s="240" t="s">
        <v>43</v>
      </c>
      <c r="C29" s="241"/>
      <c r="D29" s="242"/>
      <c r="E29" s="243">
        <f>E25+D27</f>
        <v>203.0687013284471</v>
      </c>
      <c r="F29" s="95">
        <f>E34-E32-E31</f>
        <v>203.0687013284471</v>
      </c>
      <c r="G29" s="93"/>
    </row>
    <row r="30" spans="2:8" x14ac:dyDescent="0.25">
      <c r="B30" s="202"/>
      <c r="C30" s="203"/>
      <c r="D30" s="204"/>
      <c r="E30" s="205"/>
      <c r="G30" s="93"/>
    </row>
    <row r="31" spans="2:8" x14ac:dyDescent="0.25">
      <c r="B31" s="257" t="s">
        <v>44</v>
      </c>
      <c r="C31" s="258">
        <v>0.02</v>
      </c>
      <c r="D31" s="259"/>
      <c r="E31" s="260">
        <f>E34*C31</f>
        <v>4.144259210784635</v>
      </c>
      <c r="G31" s="98"/>
      <c r="H31" s="98"/>
    </row>
    <row r="32" spans="2:8" x14ac:dyDescent="0.25">
      <c r="B32" s="257" t="s">
        <v>119</v>
      </c>
      <c r="C32" s="258">
        <v>0</v>
      </c>
      <c r="D32" s="259"/>
      <c r="E32" s="260">
        <f>E34*C32</f>
        <v>0</v>
      </c>
      <c r="G32" s="98"/>
      <c r="H32" s="98"/>
    </row>
    <row r="33" spans="2:8" x14ac:dyDescent="0.25">
      <c r="B33" s="202"/>
      <c r="C33" s="203"/>
      <c r="D33" s="204"/>
      <c r="E33" s="205"/>
      <c r="G33" s="98"/>
      <c r="H33" s="98"/>
    </row>
    <row r="34" spans="2:8" x14ac:dyDescent="0.25">
      <c r="B34" s="244" t="s">
        <v>45</v>
      </c>
      <c r="C34" s="245"/>
      <c r="D34" s="246"/>
      <c r="E34" s="247">
        <f>E29/(1-C31-C32)</f>
        <v>207.21296053923174</v>
      </c>
      <c r="F34" s="96">
        <f>E38-E36</f>
        <v>207.21296053923174</v>
      </c>
      <c r="G34" s="98"/>
      <c r="H34" s="98"/>
    </row>
    <row r="35" spans="2:8" x14ac:dyDescent="0.25">
      <c r="B35" s="202"/>
      <c r="C35" s="203"/>
      <c r="D35" s="204"/>
      <c r="E35" s="205"/>
      <c r="G35" s="98"/>
      <c r="H35" s="98"/>
    </row>
    <row r="36" spans="2:8" x14ac:dyDescent="0.25">
      <c r="B36" s="261" t="s">
        <v>46</v>
      </c>
      <c r="C36" s="262">
        <v>0.1</v>
      </c>
      <c r="D36" s="263"/>
      <c r="E36" s="264">
        <f>E38*C36</f>
        <v>23.023662282136861</v>
      </c>
      <c r="G36" s="98"/>
      <c r="H36" s="98"/>
    </row>
    <row r="37" spans="2:8" x14ac:dyDescent="0.25">
      <c r="B37" s="202"/>
      <c r="C37" s="203"/>
      <c r="D37" s="204"/>
      <c r="E37" s="205"/>
      <c r="G37" s="98"/>
      <c r="H37" s="98"/>
    </row>
    <row r="38" spans="2:8" x14ac:dyDescent="0.25">
      <c r="B38" s="248" t="s">
        <v>47</v>
      </c>
      <c r="C38" s="249"/>
      <c r="D38" s="250"/>
      <c r="E38" s="251">
        <f>E34/(1-C36)</f>
        <v>230.2366228213686</v>
      </c>
      <c r="G38" s="98"/>
      <c r="H38" s="98"/>
    </row>
    <row r="39" spans="2:8" x14ac:dyDescent="0.25">
      <c r="G39" s="98"/>
      <c r="H39" s="98"/>
    </row>
    <row r="40" spans="2:8" ht="27" thickBot="1" x14ac:dyDescent="0.45">
      <c r="B40" s="86" t="s">
        <v>48</v>
      </c>
      <c r="C40" s="87"/>
      <c r="D40" s="88"/>
      <c r="E40" s="97">
        <f>E38/20</f>
        <v>11.511831141068431</v>
      </c>
    </row>
    <row r="41" spans="2:8" ht="16.5" thickTop="1" x14ac:dyDescent="0.25"/>
  </sheetData>
  <phoneticPr fontId="3" type="noConversion"/>
  <pageMargins left="0.7" right="0.7" top="0.78740157499999996" bottom="0.78740157499999996" header="0.3" footer="0.3"/>
  <pageSetup paperSize="9" orientation="portrait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0033"/>
  </sheetPr>
  <dimension ref="B2:F19"/>
  <sheetViews>
    <sheetView workbookViewId="0"/>
  </sheetViews>
  <sheetFormatPr baseColWidth="10" defaultRowHeight="12.75" x14ac:dyDescent="0.2"/>
  <cols>
    <col min="1" max="1" width="3.28515625" customWidth="1"/>
    <col min="2" max="2" width="17.140625" bestFit="1" customWidth="1"/>
    <col min="3" max="3" width="14.7109375" bestFit="1" customWidth="1"/>
    <col min="4" max="4" width="13.85546875" bestFit="1" customWidth="1"/>
    <col min="5" max="5" width="13.85546875" customWidth="1"/>
    <col min="6" max="6" width="13.85546875" bestFit="1" customWidth="1"/>
    <col min="16" max="16" width="13.28515625" bestFit="1" customWidth="1"/>
  </cols>
  <sheetData>
    <row r="2" spans="2:6" x14ac:dyDescent="0.2">
      <c r="B2" s="189" t="s">
        <v>103</v>
      </c>
      <c r="C2" s="190"/>
      <c r="D2" s="190"/>
      <c r="E2" s="191">
        <v>20000</v>
      </c>
      <c r="F2" s="190"/>
    </row>
    <row r="3" spans="2:6" x14ac:dyDescent="0.2">
      <c r="B3" s="190"/>
      <c r="C3" s="190"/>
      <c r="D3" s="190"/>
      <c r="E3" s="190"/>
      <c r="F3" s="190"/>
    </row>
    <row r="4" spans="2:6" ht="14.25" x14ac:dyDescent="0.25">
      <c r="B4" s="190"/>
      <c r="C4" s="197" t="s">
        <v>136</v>
      </c>
      <c r="D4" s="197" t="s">
        <v>120</v>
      </c>
      <c r="E4" s="197" t="s">
        <v>121</v>
      </c>
      <c r="F4" s="197" t="s">
        <v>135</v>
      </c>
    </row>
    <row r="5" spans="2:6" x14ac:dyDescent="0.2">
      <c r="B5" s="189" t="s">
        <v>97</v>
      </c>
      <c r="C5" s="192">
        <f>'BAB November'!H23</f>
        <v>1100000</v>
      </c>
      <c r="D5" s="193">
        <f>C5</f>
        <v>1100000</v>
      </c>
      <c r="E5" s="194">
        <f>D5/$E$2</f>
        <v>55</v>
      </c>
      <c r="F5" s="190"/>
    </row>
    <row r="6" spans="2:6" x14ac:dyDescent="0.2">
      <c r="B6" s="189"/>
      <c r="C6" s="192">
        <f>'BAB November'!J23</f>
        <v>18000</v>
      </c>
      <c r="D6" s="193">
        <f t="shared" ref="D6:D7" si="0">C6</f>
        <v>18000</v>
      </c>
      <c r="E6" s="194">
        <f t="shared" ref="E6:E7" si="1">D6/$E$2</f>
        <v>0.9</v>
      </c>
      <c r="F6" s="190"/>
    </row>
    <row r="7" spans="2:6" x14ac:dyDescent="0.2">
      <c r="B7" s="189"/>
      <c r="C7" s="192">
        <f>'BAB November'!K23</f>
        <v>200000</v>
      </c>
      <c r="D7" s="193">
        <f t="shared" si="0"/>
        <v>200000</v>
      </c>
      <c r="E7" s="194">
        <f t="shared" si="1"/>
        <v>10</v>
      </c>
      <c r="F7" s="190"/>
    </row>
    <row r="8" spans="2:6" x14ac:dyDescent="0.2">
      <c r="B8" s="189"/>
      <c r="C8" s="192"/>
      <c r="D8" s="190"/>
      <c r="E8" s="194"/>
      <c r="F8" s="190"/>
    </row>
    <row r="9" spans="2:6" x14ac:dyDescent="0.2">
      <c r="B9" s="189"/>
      <c r="C9" s="192"/>
      <c r="D9" s="190"/>
      <c r="E9" s="194"/>
      <c r="F9" s="190"/>
    </row>
    <row r="10" spans="2:6" x14ac:dyDescent="0.2">
      <c r="B10" s="189" t="s">
        <v>98</v>
      </c>
      <c r="C10" s="192"/>
      <c r="D10" s="195">
        <v>0.3</v>
      </c>
      <c r="E10" s="196"/>
      <c r="F10" s="195">
        <f>1-D10</f>
        <v>0.7</v>
      </c>
    </row>
    <row r="11" spans="2:6" x14ac:dyDescent="0.2">
      <c r="B11" s="189"/>
      <c r="C11" s="192">
        <f>'BAB November'!$D$16</f>
        <v>1545500</v>
      </c>
      <c r="D11" s="193">
        <f>C11*D10</f>
        <v>463650</v>
      </c>
      <c r="E11" s="194">
        <f t="shared" ref="E11" si="2">D11/$E$2</f>
        <v>23.182500000000001</v>
      </c>
      <c r="F11" s="193">
        <f>C11*F10</f>
        <v>1081850</v>
      </c>
    </row>
    <row r="12" spans="2:6" x14ac:dyDescent="0.2">
      <c r="B12" s="189"/>
      <c r="C12" s="190"/>
      <c r="D12" s="190"/>
      <c r="E12" s="194"/>
      <c r="F12" s="190"/>
    </row>
    <row r="13" spans="2:6" x14ac:dyDescent="0.2">
      <c r="B13" s="189"/>
      <c r="C13" s="190"/>
      <c r="D13" s="190"/>
      <c r="E13" s="194">
        <f>SUM(E5:E12)</f>
        <v>89.08250000000001</v>
      </c>
      <c r="F13" s="190"/>
    </row>
    <row r="14" spans="2:6" x14ac:dyDescent="0.2">
      <c r="B14" s="189" t="s">
        <v>101</v>
      </c>
      <c r="C14" s="190"/>
      <c r="D14" s="193">
        <f>D5+D6+D7+D11</f>
        <v>1781650</v>
      </c>
      <c r="E14" s="194">
        <f>D14/E2</f>
        <v>89.082499999999996</v>
      </c>
      <c r="F14" s="193">
        <f>F11</f>
        <v>1081850</v>
      </c>
    </row>
    <row r="15" spans="2:6" x14ac:dyDescent="0.2">
      <c r="B15" s="189"/>
      <c r="C15" s="190"/>
      <c r="D15" s="190"/>
      <c r="E15" s="190"/>
      <c r="F15" s="190"/>
    </row>
    <row r="16" spans="2:6" x14ac:dyDescent="0.2">
      <c r="B16" s="189"/>
      <c r="C16" s="190"/>
      <c r="D16" s="190"/>
      <c r="E16" s="190"/>
      <c r="F16" s="190"/>
    </row>
    <row r="17" spans="2:6" x14ac:dyDescent="0.2">
      <c r="B17" s="189" t="s">
        <v>102</v>
      </c>
      <c r="C17" s="190"/>
      <c r="D17" s="190"/>
      <c r="E17" s="194">
        <f>Angebotskalkulation!E29</f>
        <v>203.0687013284471</v>
      </c>
      <c r="F17" s="190"/>
    </row>
    <row r="18" spans="2:6" x14ac:dyDescent="0.2">
      <c r="B18" s="189"/>
      <c r="C18" s="190"/>
      <c r="D18" s="190"/>
      <c r="E18" s="190"/>
      <c r="F18" s="190"/>
    </row>
    <row r="19" spans="2:6" x14ac:dyDescent="0.2">
      <c r="B19" s="189" t="s">
        <v>113</v>
      </c>
      <c r="C19" s="190"/>
      <c r="D19" s="190"/>
      <c r="E19" s="191">
        <f>F14/(E17-E14)</f>
        <v>9491.0610880231761</v>
      </c>
      <c r="F19" s="190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B1:R30"/>
  <sheetViews>
    <sheetView zoomScale="90" zoomScaleNormal="90" workbookViewId="0"/>
  </sheetViews>
  <sheetFormatPr baseColWidth="10" defaultRowHeight="15.75" x14ac:dyDescent="0.25"/>
  <cols>
    <col min="1" max="1" width="3.5703125" style="106" customWidth="1"/>
    <col min="2" max="2" width="4" style="106" bestFit="1" customWidth="1"/>
    <col min="3" max="3" width="28.140625" style="106" bestFit="1" customWidth="1"/>
    <col min="4" max="4" width="16.28515625" style="106" bestFit="1" customWidth="1"/>
    <col min="5" max="5" width="28.85546875" style="106" bestFit="1" customWidth="1"/>
    <col min="6" max="6" width="14.42578125" style="106" bestFit="1" customWidth="1"/>
    <col min="7" max="7" width="16.28515625" style="106" bestFit="1" customWidth="1"/>
    <col min="8" max="8" width="14.7109375" style="106" bestFit="1" customWidth="1"/>
    <col min="9" max="9" width="20.42578125" style="106" bestFit="1" customWidth="1"/>
    <col min="10" max="10" width="15.28515625" style="106" bestFit="1" customWidth="1"/>
    <col min="11" max="12" width="14.42578125" style="106" customWidth="1"/>
    <col min="13" max="13" width="17.140625" style="106" bestFit="1" customWidth="1"/>
    <col min="14" max="14" width="16.85546875" style="106" bestFit="1" customWidth="1"/>
    <col min="15" max="15" width="16.28515625" style="106" bestFit="1" customWidth="1"/>
    <col min="16" max="16" width="3.28515625" style="106" customWidth="1"/>
    <col min="17" max="17" width="14.42578125" style="106" bestFit="1" customWidth="1"/>
    <col min="18" max="18" width="31.85546875" style="106" bestFit="1" customWidth="1"/>
    <col min="19" max="16384" width="11.42578125" style="106"/>
  </cols>
  <sheetData>
    <row r="1" spans="2:18" ht="16.5" thickBot="1" x14ac:dyDescent="0.3">
      <c r="B1" s="105"/>
    </row>
    <row r="2" spans="2:18" ht="16.5" thickBot="1" x14ac:dyDescent="0.3">
      <c r="C2" s="107" t="str">
        <f>'BAB November'!$C$2</f>
        <v>BAB Monat November 20xx</v>
      </c>
    </row>
    <row r="3" spans="2:18" x14ac:dyDescent="0.25">
      <c r="C3" s="108"/>
      <c r="D3" s="109"/>
      <c r="E3" s="108"/>
      <c r="F3" s="110" t="s">
        <v>4</v>
      </c>
      <c r="G3" s="111" t="s">
        <v>3</v>
      </c>
      <c r="H3" s="110" t="s">
        <v>2</v>
      </c>
      <c r="I3" s="112" t="s">
        <v>1</v>
      </c>
      <c r="J3" s="113" t="s">
        <v>10</v>
      </c>
      <c r="K3" s="114"/>
      <c r="L3" s="115"/>
      <c r="M3" s="111" t="s">
        <v>11</v>
      </c>
      <c r="N3" s="116" t="s">
        <v>12</v>
      </c>
      <c r="O3" s="115" t="s">
        <v>13</v>
      </c>
      <c r="Q3" s="265" t="s">
        <v>10</v>
      </c>
      <c r="R3" s="266"/>
    </row>
    <row r="4" spans="2:18" x14ac:dyDescent="0.25">
      <c r="C4" s="108"/>
      <c r="D4" s="117"/>
      <c r="E4" s="108"/>
      <c r="F4" s="116" t="s">
        <v>50</v>
      </c>
      <c r="G4" s="111" t="s">
        <v>51</v>
      </c>
      <c r="H4" s="116" t="s">
        <v>52</v>
      </c>
      <c r="I4" s="113" t="s">
        <v>53</v>
      </c>
      <c r="J4" s="113" t="s">
        <v>54</v>
      </c>
      <c r="K4" s="114"/>
      <c r="L4" s="115"/>
      <c r="M4" s="111" t="s">
        <v>55</v>
      </c>
      <c r="N4" s="116" t="s">
        <v>56</v>
      </c>
      <c r="O4" s="115" t="s">
        <v>57</v>
      </c>
      <c r="Q4" s="267" t="s">
        <v>54</v>
      </c>
      <c r="R4" s="268"/>
    </row>
    <row r="5" spans="2:18" x14ac:dyDescent="0.25">
      <c r="C5" s="108"/>
      <c r="D5" s="117"/>
      <c r="E5" s="108"/>
      <c r="F5" s="116"/>
      <c r="G5" s="111"/>
      <c r="H5" s="116"/>
      <c r="I5" s="113"/>
      <c r="J5" s="288" t="s">
        <v>104</v>
      </c>
      <c r="K5" s="289"/>
      <c r="L5" s="115" t="s">
        <v>105</v>
      </c>
      <c r="M5" s="111"/>
      <c r="N5" s="116"/>
      <c r="O5" s="115"/>
      <c r="Q5" s="269"/>
      <c r="R5" s="268" t="s">
        <v>106</v>
      </c>
    </row>
    <row r="6" spans="2:18" ht="16.5" thickBot="1" x14ac:dyDescent="0.3">
      <c r="B6" s="118" t="s">
        <v>14</v>
      </c>
      <c r="C6" s="119" t="s">
        <v>15</v>
      </c>
      <c r="D6" s="120" t="s">
        <v>16</v>
      </c>
      <c r="E6" s="119" t="s">
        <v>5</v>
      </c>
      <c r="F6" s="120"/>
      <c r="G6" s="120"/>
      <c r="H6" s="120"/>
      <c r="I6" s="121"/>
      <c r="J6" s="120" t="s">
        <v>100</v>
      </c>
      <c r="K6" s="120" t="s">
        <v>99</v>
      </c>
      <c r="L6" s="122" t="s">
        <v>107</v>
      </c>
      <c r="M6" s="119"/>
      <c r="N6" s="120"/>
      <c r="O6" s="122"/>
      <c r="Q6" s="270"/>
      <c r="R6" s="271"/>
    </row>
    <row r="7" spans="2:18" ht="16.5" thickBot="1" x14ac:dyDescent="0.3">
      <c r="B7" s="106" t="s">
        <v>17</v>
      </c>
      <c r="C7" s="123" t="s">
        <v>6</v>
      </c>
      <c r="D7" s="124">
        <f>'BAB November'!D5</f>
        <v>43000</v>
      </c>
      <c r="E7" s="123" t="str">
        <f>'BAB November'!E5</f>
        <v>Rechnungen (direkt</v>
      </c>
      <c r="F7" s="125">
        <f>'BAB November'!F5</f>
        <v>6000</v>
      </c>
      <c r="G7" s="126">
        <f>'BAB November'!G5</f>
        <v>4000</v>
      </c>
      <c r="H7" s="125">
        <f>'BAB November'!H5</f>
        <v>5000</v>
      </c>
      <c r="I7" s="127">
        <f>'BAB November'!I5</f>
        <v>3000</v>
      </c>
      <c r="J7" s="125"/>
      <c r="K7" s="125">
        <f>Q7</f>
        <v>12000</v>
      </c>
      <c r="L7" s="128"/>
      <c r="M7" s="126">
        <f>'BAB November'!K5</f>
        <v>10000</v>
      </c>
      <c r="N7" s="125">
        <f>'BAB November'!L5</f>
        <v>2000</v>
      </c>
      <c r="O7" s="128">
        <f>'BAB November'!M5</f>
        <v>1000</v>
      </c>
      <c r="P7" s="129"/>
      <c r="Q7" s="272">
        <f>'BAB November'!J5</f>
        <v>12000</v>
      </c>
      <c r="R7" s="273" t="s">
        <v>99</v>
      </c>
    </row>
    <row r="8" spans="2:18" ht="16.5" thickBot="1" x14ac:dyDescent="0.3">
      <c r="B8" s="106" t="s">
        <v>18</v>
      </c>
      <c r="C8" s="130" t="s">
        <v>7</v>
      </c>
      <c r="D8" s="131">
        <f>'BAB November'!D6</f>
        <v>184000</v>
      </c>
      <c r="E8" s="123" t="str">
        <f>'BAB November'!E6</f>
        <v>Lohnlisten (direkt)</v>
      </c>
      <c r="F8" s="132">
        <f>'BAB November'!F6</f>
        <v>35000</v>
      </c>
      <c r="G8" s="133">
        <f>'BAB November'!G6</f>
        <v>28000</v>
      </c>
      <c r="H8" s="132">
        <f>'BAB November'!H6</f>
        <v>19000</v>
      </c>
      <c r="I8" s="134">
        <f>'BAB November'!I6</f>
        <v>13000</v>
      </c>
      <c r="J8" s="132"/>
      <c r="K8" s="132"/>
      <c r="L8" s="135">
        <f>Q8</f>
        <v>45000</v>
      </c>
      <c r="M8" s="133">
        <f>'BAB November'!K6</f>
        <v>38000</v>
      </c>
      <c r="N8" s="132">
        <f>'BAB November'!L6</f>
        <v>0</v>
      </c>
      <c r="O8" s="135">
        <f>'BAB November'!M6</f>
        <v>6000</v>
      </c>
      <c r="P8" s="129"/>
      <c r="Q8" s="274">
        <f>'BAB November'!J6</f>
        <v>45000</v>
      </c>
      <c r="R8" s="275" t="s">
        <v>108</v>
      </c>
    </row>
    <row r="9" spans="2:18" ht="16.5" thickBot="1" x14ac:dyDescent="0.3">
      <c r="B9" s="106" t="s">
        <v>19</v>
      </c>
      <c r="C9" s="136" t="s">
        <v>20</v>
      </c>
      <c r="D9" s="131">
        <f>'BAB November'!D7</f>
        <v>210000</v>
      </c>
      <c r="E9" s="123" t="str">
        <f>'BAB November'!E7</f>
        <v>Lohn- &amp; Gehaltslisten (direkt)</v>
      </c>
      <c r="F9" s="132">
        <f>'BAB November'!F7</f>
        <v>32000</v>
      </c>
      <c r="G9" s="133">
        <f>'BAB November'!G7</f>
        <v>17000</v>
      </c>
      <c r="H9" s="132">
        <f>'BAB November'!H7</f>
        <v>25000</v>
      </c>
      <c r="I9" s="134">
        <f>'BAB November'!I7</f>
        <v>8000</v>
      </c>
      <c r="J9" s="132"/>
      <c r="K9" s="132"/>
      <c r="L9" s="135">
        <f>Q9</f>
        <v>36000</v>
      </c>
      <c r="M9" s="133">
        <f>'BAB November'!K7</f>
        <v>31000</v>
      </c>
      <c r="N9" s="132">
        <f>'BAB November'!L7</f>
        <v>46000</v>
      </c>
      <c r="O9" s="135">
        <f>'BAB November'!M7</f>
        <v>15000</v>
      </c>
      <c r="P9" s="129"/>
      <c r="Q9" s="274">
        <f>'BAB November'!J7</f>
        <v>36000</v>
      </c>
      <c r="R9" s="275" t="s">
        <v>108</v>
      </c>
    </row>
    <row r="10" spans="2:18" ht="16.5" thickBot="1" x14ac:dyDescent="0.3">
      <c r="B10" s="106" t="s">
        <v>21</v>
      </c>
      <c r="C10" s="123" t="s">
        <v>22</v>
      </c>
      <c r="D10" s="124">
        <f>'BAB November'!D8</f>
        <v>87500</v>
      </c>
      <c r="E10" s="123" t="str">
        <f>'BAB November'!E8</f>
        <v>Rechnungen (direkt</v>
      </c>
      <c r="F10" s="125">
        <f>'BAB November'!F8</f>
        <v>14000</v>
      </c>
      <c r="G10" s="126">
        <f>'BAB November'!G8</f>
        <v>14000</v>
      </c>
      <c r="H10" s="125">
        <f>'BAB November'!H8</f>
        <v>7000</v>
      </c>
      <c r="I10" s="127">
        <f>'BAB November'!I8</f>
        <v>14000</v>
      </c>
      <c r="J10" s="125">
        <f>Q10/5</f>
        <v>3500</v>
      </c>
      <c r="K10" s="125">
        <f>Q10/5*4</f>
        <v>14000</v>
      </c>
      <c r="L10" s="128"/>
      <c r="M10" s="126">
        <f>'BAB November'!K8</f>
        <v>14000</v>
      </c>
      <c r="N10" s="125">
        <f>'BAB November'!L8</f>
        <v>3500</v>
      </c>
      <c r="O10" s="128">
        <f>'BAB November'!M8</f>
        <v>3500</v>
      </c>
      <c r="P10" s="129"/>
      <c r="Q10" s="272">
        <f>'BAB November'!J8</f>
        <v>17500</v>
      </c>
      <c r="R10" s="273" t="s">
        <v>109</v>
      </c>
    </row>
    <row r="11" spans="2:18" ht="16.5" thickBot="1" x14ac:dyDescent="0.3">
      <c r="B11" s="106" t="s">
        <v>24</v>
      </c>
      <c r="C11" s="130" t="s">
        <v>58</v>
      </c>
      <c r="D11" s="131">
        <f>'BAB November'!D9</f>
        <v>52000</v>
      </c>
      <c r="E11" s="123" t="str">
        <f>'BAB November'!E9</f>
        <v>Schlüssel</v>
      </c>
      <c r="F11" s="132">
        <f>'BAB November'!F9</f>
        <v>4000</v>
      </c>
      <c r="G11" s="133">
        <f>'BAB November'!G9</f>
        <v>4000</v>
      </c>
      <c r="H11" s="132">
        <f>'BAB November'!H9</f>
        <v>8000</v>
      </c>
      <c r="I11" s="134">
        <f>'BAB November'!I9</f>
        <v>0</v>
      </c>
      <c r="J11" s="132">
        <f>Q11</f>
        <v>4000</v>
      </c>
      <c r="K11" s="132"/>
      <c r="L11" s="135"/>
      <c r="M11" s="133">
        <f>'BAB November'!K9</f>
        <v>4000</v>
      </c>
      <c r="N11" s="132">
        <f>'BAB November'!L9</f>
        <v>12000</v>
      </c>
      <c r="O11" s="135">
        <f>'BAB November'!M9</f>
        <v>16000</v>
      </c>
      <c r="P11" s="129"/>
      <c r="Q11" s="274">
        <f>'BAB November'!J9</f>
        <v>4000</v>
      </c>
      <c r="R11" s="275" t="s">
        <v>100</v>
      </c>
    </row>
    <row r="12" spans="2:18" ht="16.5" thickBot="1" x14ac:dyDescent="0.3">
      <c r="B12" s="106" t="s">
        <v>25</v>
      </c>
      <c r="C12" s="123" t="s">
        <v>26</v>
      </c>
      <c r="D12" s="124">
        <f>'BAB November'!D10</f>
        <v>94000</v>
      </c>
      <c r="E12" s="123" t="str">
        <f>'BAB November'!E10</f>
        <v>Rechnungen (direkt</v>
      </c>
      <c r="F12" s="125">
        <f>'BAB November'!F10</f>
        <v>9000</v>
      </c>
      <c r="G12" s="126">
        <f>'BAB November'!G10</f>
        <v>8000</v>
      </c>
      <c r="H12" s="125">
        <f>'BAB November'!H10</f>
        <v>7000</v>
      </c>
      <c r="I12" s="127">
        <f>'BAB November'!I10</f>
        <v>5000</v>
      </c>
      <c r="J12" s="132">
        <f>Q12</f>
        <v>12000</v>
      </c>
      <c r="K12" s="125"/>
      <c r="L12" s="128"/>
      <c r="M12" s="126">
        <f>'BAB November'!K10</f>
        <v>11000</v>
      </c>
      <c r="N12" s="125">
        <f>'BAB November'!L10</f>
        <v>24000</v>
      </c>
      <c r="O12" s="128">
        <f>'BAB November'!M10</f>
        <v>18000</v>
      </c>
      <c r="P12" s="129"/>
      <c r="Q12" s="272">
        <f>'BAB November'!J10</f>
        <v>12000</v>
      </c>
      <c r="R12" s="273" t="s">
        <v>100</v>
      </c>
    </row>
    <row r="13" spans="2:18" ht="16.5" thickBot="1" x14ac:dyDescent="0.3">
      <c r="B13" s="106" t="s">
        <v>27</v>
      </c>
      <c r="C13" s="130" t="s">
        <v>0</v>
      </c>
      <c r="D13" s="131">
        <f>'BAB November'!D11</f>
        <v>518000</v>
      </c>
      <c r="E13" s="123" t="str">
        <f>'BAB November'!E11</f>
        <v>Gehaltslisten (direkt)</v>
      </c>
      <c r="F13" s="132">
        <f>'BAB November'!F11</f>
        <v>68000</v>
      </c>
      <c r="G13" s="133">
        <f>'BAB November'!G11</f>
        <v>37000</v>
      </c>
      <c r="H13" s="132">
        <f>'BAB November'!H11</f>
        <v>42000</v>
      </c>
      <c r="I13" s="134">
        <f>'BAB November'!I11</f>
        <v>18000</v>
      </c>
      <c r="J13" s="132">
        <f>Q13</f>
        <v>84000</v>
      </c>
      <c r="K13" s="132"/>
      <c r="L13" s="135"/>
      <c r="M13" s="133">
        <f>'BAB November'!K11</f>
        <v>76000</v>
      </c>
      <c r="N13" s="132">
        <f>'BAB November'!L11</f>
        <v>154000</v>
      </c>
      <c r="O13" s="135">
        <f>'BAB November'!M11</f>
        <v>39000</v>
      </c>
      <c r="P13" s="129"/>
      <c r="Q13" s="274">
        <f>'BAB November'!J11</f>
        <v>84000</v>
      </c>
      <c r="R13" s="275" t="s">
        <v>100</v>
      </c>
    </row>
    <row r="14" spans="2:18" ht="16.5" thickBot="1" x14ac:dyDescent="0.3">
      <c r="B14" s="106" t="s">
        <v>28</v>
      </c>
      <c r="C14" s="136" t="s">
        <v>9</v>
      </c>
      <c r="D14" s="131">
        <f>'BAB November'!D12</f>
        <v>48000</v>
      </c>
      <c r="E14" s="123" t="str">
        <f>'BAB November'!E12</f>
        <v>Beschäftigtenzahl</v>
      </c>
      <c r="F14" s="132">
        <f>'BAB November'!F12</f>
        <v>3000</v>
      </c>
      <c r="G14" s="133">
        <f>'BAB November'!G12</f>
        <v>3000</v>
      </c>
      <c r="H14" s="132">
        <f>'BAB November'!H12</f>
        <v>6000</v>
      </c>
      <c r="I14" s="134">
        <f>'BAB November'!I12</f>
        <v>6000</v>
      </c>
      <c r="J14" s="132"/>
      <c r="K14" s="132"/>
      <c r="L14" s="135">
        <f>Q14</f>
        <v>6000</v>
      </c>
      <c r="M14" s="133">
        <f>'BAB November'!K12</f>
        <v>6000</v>
      </c>
      <c r="N14" s="132">
        <f>'BAB November'!L12</f>
        <v>12000</v>
      </c>
      <c r="O14" s="135">
        <f>'BAB November'!M12</f>
        <v>6000</v>
      </c>
      <c r="P14" s="129"/>
      <c r="Q14" s="274">
        <f>'BAB November'!J12</f>
        <v>6000</v>
      </c>
      <c r="R14" s="275" t="s">
        <v>108</v>
      </c>
    </row>
    <row r="15" spans="2:18" ht="16.5" thickBot="1" x14ac:dyDescent="0.3">
      <c r="B15" s="106" t="s">
        <v>29</v>
      </c>
      <c r="C15" s="136" t="s">
        <v>59</v>
      </c>
      <c r="D15" s="131">
        <f>'BAB November'!D13</f>
        <v>28000</v>
      </c>
      <c r="E15" s="123" t="str">
        <f>'BAB November'!E13</f>
        <v>Raumgrößen in m2</v>
      </c>
      <c r="F15" s="132">
        <f>'BAB November'!F13</f>
        <v>2000</v>
      </c>
      <c r="G15" s="133">
        <f>'BAB November'!G13</f>
        <v>4000</v>
      </c>
      <c r="H15" s="132">
        <f>'BAB November'!H13</f>
        <v>2000</v>
      </c>
      <c r="I15" s="134">
        <f>'BAB November'!I13</f>
        <v>2000</v>
      </c>
      <c r="J15" s="132">
        <f>Q15</f>
        <v>6000</v>
      </c>
      <c r="K15" s="132"/>
      <c r="L15" s="135"/>
      <c r="M15" s="133">
        <f>'BAB November'!K13</f>
        <v>6000</v>
      </c>
      <c r="N15" s="132">
        <f>'BAB November'!L13</f>
        <v>4000</v>
      </c>
      <c r="O15" s="135">
        <f>'BAB November'!M13</f>
        <v>2000</v>
      </c>
      <c r="P15" s="129"/>
      <c r="Q15" s="274">
        <f>'BAB November'!J13</f>
        <v>6000</v>
      </c>
      <c r="R15" s="275" t="s">
        <v>100</v>
      </c>
    </row>
    <row r="16" spans="2:18" ht="16.5" thickBot="1" x14ac:dyDescent="0.3">
      <c r="B16" s="106" t="s">
        <v>60</v>
      </c>
      <c r="C16" s="136" t="s">
        <v>61</v>
      </c>
      <c r="D16" s="131">
        <f>'BAB November'!D14</f>
        <v>165000</v>
      </c>
      <c r="E16" s="123" t="str">
        <f>'BAB November'!E14</f>
        <v>Anlagenwerte in T€</v>
      </c>
      <c r="F16" s="132">
        <f>'BAB November'!F14</f>
        <v>33000</v>
      </c>
      <c r="G16" s="133">
        <f>'BAB November'!G14</f>
        <v>22000</v>
      </c>
      <c r="H16" s="132">
        <f>'BAB November'!H14</f>
        <v>11000</v>
      </c>
      <c r="I16" s="134">
        <f>'BAB November'!I14</f>
        <v>11000</v>
      </c>
      <c r="J16" s="132">
        <f>Q16</f>
        <v>33000</v>
      </c>
      <c r="K16" s="132"/>
      <c r="L16" s="135"/>
      <c r="M16" s="133">
        <f>'BAB November'!K14</f>
        <v>33000</v>
      </c>
      <c r="N16" s="132">
        <f>'BAB November'!L14</f>
        <v>11000</v>
      </c>
      <c r="O16" s="135">
        <f>'BAB November'!M14</f>
        <v>11000</v>
      </c>
      <c r="P16" s="129"/>
      <c r="Q16" s="274">
        <f>'BAB November'!J14</f>
        <v>33000</v>
      </c>
      <c r="R16" s="275" t="s">
        <v>100</v>
      </c>
    </row>
    <row r="17" spans="2:18" ht="16.5" thickBot="1" x14ac:dyDescent="0.3">
      <c r="B17" s="106" t="s">
        <v>62</v>
      </c>
      <c r="C17" s="123" t="s">
        <v>8</v>
      </c>
      <c r="D17" s="124">
        <f>'BAB November'!D15</f>
        <v>116000</v>
      </c>
      <c r="E17" s="123" t="str">
        <f>'BAB November'!E15</f>
        <v>Investitionsplanung</v>
      </c>
      <c r="F17" s="137">
        <f>'BAB November'!F15</f>
        <v>34000</v>
      </c>
      <c r="G17" s="137">
        <f>'BAB November'!G15</f>
        <v>12000</v>
      </c>
      <c r="H17" s="137">
        <f>'BAB November'!H15</f>
        <v>2000</v>
      </c>
      <c r="I17" s="137">
        <f>'BAB November'!I15</f>
        <v>8000</v>
      </c>
      <c r="J17" s="132">
        <f>Q17</f>
        <v>27000</v>
      </c>
      <c r="K17" s="137"/>
      <c r="L17" s="138"/>
      <c r="M17" s="137">
        <f>'BAB November'!K15</f>
        <v>25000</v>
      </c>
      <c r="N17" s="137">
        <f>'BAB November'!L15</f>
        <v>6000</v>
      </c>
      <c r="O17" s="137">
        <f>'BAB November'!M15</f>
        <v>2000</v>
      </c>
      <c r="P17" s="129"/>
      <c r="Q17" s="276">
        <f>'BAB November'!J15</f>
        <v>27000</v>
      </c>
      <c r="R17" s="277" t="s">
        <v>100</v>
      </c>
    </row>
    <row r="18" spans="2:18" ht="16.5" thickBot="1" x14ac:dyDescent="0.3">
      <c r="C18" s="139" t="s">
        <v>32</v>
      </c>
      <c r="D18" s="140">
        <f>'BAB November'!D16</f>
        <v>1545500</v>
      </c>
      <c r="E18" s="141"/>
      <c r="F18" s="142">
        <f>'BAB November'!F16</f>
        <v>240000</v>
      </c>
      <c r="G18" s="143">
        <f>'BAB November'!G16</f>
        <v>153000</v>
      </c>
      <c r="H18" s="144">
        <f>'BAB November'!H16</f>
        <v>134000</v>
      </c>
      <c r="I18" s="145">
        <f>'BAB November'!I16</f>
        <v>88000</v>
      </c>
      <c r="J18" s="145">
        <f>SUM(J7:J17)</f>
        <v>169500</v>
      </c>
      <c r="K18" s="143">
        <f>SUM(K7:K17)</f>
        <v>26000</v>
      </c>
      <c r="L18" s="144">
        <f>SUM(L7:L17)</f>
        <v>87000</v>
      </c>
      <c r="M18" s="145">
        <f>'BAB November'!K16</f>
        <v>254000</v>
      </c>
      <c r="N18" s="145">
        <f>'BAB November'!L16</f>
        <v>274500</v>
      </c>
      <c r="O18" s="143">
        <f>'BAB November'!M16</f>
        <v>119500</v>
      </c>
      <c r="P18" s="129"/>
      <c r="Q18" s="278">
        <f>'BAB November'!J16</f>
        <v>282500</v>
      </c>
      <c r="R18" s="279"/>
    </row>
    <row r="19" spans="2:18" ht="16.5" thickBot="1" x14ac:dyDescent="0.3">
      <c r="F19" s="146" t="str">
        <f>'BAB November'!F17</f>
        <v>Umlage</v>
      </c>
      <c r="G19" s="147">
        <f>'BAB November'!G17</f>
        <v>12000</v>
      </c>
      <c r="H19" s="147">
        <f>'BAB November'!H17</f>
        <v>12000</v>
      </c>
      <c r="I19" s="147">
        <f>'BAB November'!I17</f>
        <v>36000</v>
      </c>
      <c r="J19" s="148"/>
      <c r="K19" s="125">
        <f>Q19</f>
        <v>72000</v>
      </c>
      <c r="L19" s="149"/>
      <c r="M19" s="148">
        <f>'BAB November'!K17</f>
        <v>60000</v>
      </c>
      <c r="N19" s="148">
        <f>'BAB November'!L17</f>
        <v>36000</v>
      </c>
      <c r="O19" s="150">
        <f>'BAB November'!M17</f>
        <v>12000</v>
      </c>
      <c r="Q19" s="280">
        <f>'BAB November'!J17</f>
        <v>72000</v>
      </c>
      <c r="R19" s="281" t="s">
        <v>99</v>
      </c>
    </row>
    <row r="20" spans="2:18" ht="16.5" thickBot="1" x14ac:dyDescent="0.3">
      <c r="C20" s="139" t="s">
        <v>32</v>
      </c>
      <c r="D20" s="141"/>
      <c r="E20" s="141"/>
      <c r="F20" s="141"/>
      <c r="G20" s="143">
        <f>'BAB November'!G18</f>
        <v>165000</v>
      </c>
      <c r="H20" s="151">
        <f>'BAB November'!H18</f>
        <v>146000</v>
      </c>
      <c r="I20" s="152">
        <f>'BAB November'!I18</f>
        <v>124000</v>
      </c>
      <c r="J20" s="152">
        <f>SUM(J18:J19)</f>
        <v>169500</v>
      </c>
      <c r="K20" s="153">
        <f>SUM(K18:K19)</f>
        <v>98000</v>
      </c>
      <c r="L20" s="151">
        <f>SUM(L18:L19)</f>
        <v>87000</v>
      </c>
      <c r="M20" s="152">
        <f>'BAB November'!K18</f>
        <v>314000</v>
      </c>
      <c r="N20" s="152">
        <f>'BAB November'!L18</f>
        <v>310500</v>
      </c>
      <c r="O20" s="153">
        <f>'BAB November'!M18</f>
        <v>131500</v>
      </c>
      <c r="Q20" s="282">
        <f>'BAB November'!J18</f>
        <v>354500</v>
      </c>
      <c r="R20" s="283"/>
    </row>
    <row r="21" spans="2:18" ht="16.5" thickBot="1" x14ac:dyDescent="0.3">
      <c r="G21" s="146" t="str">
        <f>'BAB November'!G19</f>
        <v>Umlage</v>
      </c>
      <c r="H21" s="147">
        <f>'BAB November'!H19</f>
        <v>30000</v>
      </c>
      <c r="I21" s="154">
        <f>'BAB November'!I19</f>
        <v>15000</v>
      </c>
      <c r="J21" s="148"/>
      <c r="K21" s="125">
        <f>Q21</f>
        <v>22500</v>
      </c>
      <c r="L21" s="149"/>
      <c r="M21" s="148">
        <f>'BAB November'!K19</f>
        <v>15000</v>
      </c>
      <c r="N21" s="148">
        <f>'BAB November'!L19</f>
        <v>37500</v>
      </c>
      <c r="O21" s="150">
        <f>'BAB November'!M19</f>
        <v>45000</v>
      </c>
      <c r="Q21" s="280">
        <f>'BAB November'!J19</f>
        <v>22500</v>
      </c>
      <c r="R21" s="281" t="s">
        <v>99</v>
      </c>
    </row>
    <row r="22" spans="2:18" ht="16.5" thickBot="1" x14ac:dyDescent="0.3">
      <c r="C22" s="139" t="s">
        <v>32</v>
      </c>
      <c r="D22" s="141"/>
      <c r="E22" s="141"/>
      <c r="F22" s="141"/>
      <c r="G22" s="141"/>
      <c r="H22" s="151">
        <f>'BAB November'!H20</f>
        <v>176000</v>
      </c>
      <c r="I22" s="152">
        <f>'BAB November'!I20</f>
        <v>139000</v>
      </c>
      <c r="J22" s="152">
        <f>SUM(J20:J21)</f>
        <v>169500</v>
      </c>
      <c r="K22" s="153">
        <f>SUM(K20:K21)</f>
        <v>120500</v>
      </c>
      <c r="L22" s="151">
        <f>SUM(L20:L21)</f>
        <v>87000</v>
      </c>
      <c r="M22" s="152">
        <f>'BAB November'!K20</f>
        <v>329000</v>
      </c>
      <c r="N22" s="152">
        <f>'BAB November'!L20</f>
        <v>348000</v>
      </c>
      <c r="O22" s="153">
        <f>'BAB November'!M20</f>
        <v>176500</v>
      </c>
      <c r="Q22" s="282">
        <f>'BAB November'!J20</f>
        <v>377000</v>
      </c>
      <c r="R22" s="283"/>
    </row>
    <row r="23" spans="2:18" ht="16.5" thickBot="1" x14ac:dyDescent="0.3">
      <c r="I23" s="146" t="str">
        <f>'BAB November'!I21</f>
        <v>Umlage</v>
      </c>
      <c r="J23" s="155">
        <f>Q23</f>
        <v>83400</v>
      </c>
      <c r="K23" s="156"/>
      <c r="L23" s="157"/>
      <c r="M23" s="158">
        <f>'BAB November'!K21</f>
        <v>55600</v>
      </c>
      <c r="N23" s="159"/>
      <c r="O23" s="150"/>
      <c r="Q23" s="284">
        <f>'BAB November'!J21</f>
        <v>83400</v>
      </c>
      <c r="R23" s="285" t="s">
        <v>100</v>
      </c>
    </row>
    <row r="24" spans="2:18" ht="16.5" thickBot="1" x14ac:dyDescent="0.3">
      <c r="J24" s="160">
        <f>SUM(J22:J23)</f>
        <v>252900</v>
      </c>
      <c r="K24" s="160">
        <f>SUM(K22:K23)</f>
        <v>120500</v>
      </c>
      <c r="L24" s="161">
        <f>SUM(L22:L23)</f>
        <v>87000</v>
      </c>
      <c r="M24" s="162">
        <f>'BAB November'!K22</f>
        <v>384600</v>
      </c>
      <c r="N24" s="160">
        <f>N22</f>
        <v>348000</v>
      </c>
      <c r="O24" s="160">
        <f>O22</f>
        <v>176500</v>
      </c>
      <c r="Q24" s="286">
        <f>'BAB November'!J22</f>
        <v>460400</v>
      </c>
      <c r="R24" s="287"/>
    </row>
    <row r="25" spans="2:18" x14ac:dyDescent="0.25">
      <c r="C25" s="163" t="s">
        <v>30</v>
      </c>
      <c r="D25" s="164"/>
      <c r="E25" s="164"/>
      <c r="F25" s="164"/>
      <c r="G25" s="164"/>
      <c r="H25" s="164">
        <f>'BAB November'!H23</f>
        <v>1100000</v>
      </c>
      <c r="I25" s="164"/>
      <c r="J25" s="290">
        <f>8400/350*30</f>
        <v>720</v>
      </c>
      <c r="K25" s="290"/>
      <c r="L25" s="165">
        <f>'BAB November'!J23</f>
        <v>18000</v>
      </c>
      <c r="M25" s="165">
        <f>'BAB November'!K23</f>
        <v>200000</v>
      </c>
      <c r="N25" s="166">
        <f>'BAB November'!L23</f>
        <v>2183000</v>
      </c>
      <c r="O25" s="167">
        <f>'BAB November'!M23</f>
        <v>2183000</v>
      </c>
    </row>
    <row r="26" spans="2:18" x14ac:dyDescent="0.25">
      <c r="C26" s="163"/>
      <c r="D26" s="168"/>
      <c r="E26" s="168"/>
      <c r="F26" s="168"/>
      <c r="G26" s="168"/>
      <c r="H26" s="163"/>
      <c r="I26" s="168"/>
      <c r="J26" s="169">
        <f>J24</f>
        <v>252900</v>
      </c>
      <c r="K26" s="170">
        <f>K24/J25</f>
        <v>167.36111111111111</v>
      </c>
      <c r="L26" s="163"/>
      <c r="M26" s="163"/>
      <c r="N26" s="163"/>
      <c r="O26" s="171"/>
    </row>
    <row r="27" spans="2:18" x14ac:dyDescent="0.25">
      <c r="C27" s="163" t="s">
        <v>31</v>
      </c>
      <c r="D27" s="163"/>
      <c r="E27" s="163"/>
      <c r="F27" s="163"/>
      <c r="G27" s="163"/>
      <c r="H27" s="172">
        <f>H22/H25</f>
        <v>0.16</v>
      </c>
      <c r="I27" s="163"/>
      <c r="J27" s="291">
        <f>(J24+K24)/J25</f>
        <v>518.61111111111109</v>
      </c>
      <c r="K27" s="291"/>
      <c r="L27" s="172">
        <f>L24/L25</f>
        <v>4.833333333333333</v>
      </c>
      <c r="M27" s="172">
        <f>M24/M25</f>
        <v>1.923</v>
      </c>
      <c r="N27" s="172">
        <f>N24/N25</f>
        <v>0.15941365093907467</v>
      </c>
      <c r="O27" s="173">
        <f>O24/O25</f>
        <v>8.0852038479157118E-2</v>
      </c>
    </row>
    <row r="28" spans="2:18" x14ac:dyDescent="0.25">
      <c r="G28" s="174"/>
    </row>
    <row r="29" spans="2:18" x14ac:dyDescent="0.25">
      <c r="I29" s="253" t="s">
        <v>140</v>
      </c>
      <c r="J29" s="292">
        <f>J25*(1-0.3)</f>
        <v>503.99999999999994</v>
      </c>
      <c r="K29" s="292"/>
    </row>
    <row r="30" spans="2:18" x14ac:dyDescent="0.25">
      <c r="I30" s="253" t="s">
        <v>141</v>
      </c>
      <c r="J30" s="293">
        <f>(J24+K24)/J29</f>
        <v>740.8730158730159</v>
      </c>
      <c r="K30" s="293"/>
    </row>
  </sheetData>
  <mergeCells count="5">
    <mergeCell ref="J5:K5"/>
    <mergeCell ref="J25:K25"/>
    <mergeCell ref="J27:K27"/>
    <mergeCell ref="J29:K29"/>
    <mergeCell ref="J30:K30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B1:P39"/>
  <sheetViews>
    <sheetView zoomScale="90" zoomScaleNormal="90" workbookViewId="0"/>
  </sheetViews>
  <sheetFormatPr baseColWidth="10" defaultRowHeight="15.75" x14ac:dyDescent="0.25"/>
  <cols>
    <col min="1" max="1" width="3.5703125" style="106" customWidth="1"/>
    <col min="2" max="2" width="4" style="106" bestFit="1" customWidth="1"/>
    <col min="3" max="3" width="28.140625" style="106" bestFit="1" customWidth="1"/>
    <col min="4" max="4" width="16.28515625" style="106" bestFit="1" customWidth="1"/>
    <col min="5" max="5" width="11.140625" style="106" customWidth="1"/>
    <col min="6" max="6" width="14.42578125" style="106" bestFit="1" customWidth="1"/>
    <col min="7" max="7" width="16.28515625" style="106" bestFit="1" customWidth="1"/>
    <col min="8" max="8" width="14.7109375" style="106" bestFit="1" customWidth="1"/>
    <col min="9" max="9" width="20.42578125" style="106" bestFit="1" customWidth="1"/>
    <col min="10" max="10" width="15.28515625" style="106" bestFit="1" customWidth="1"/>
    <col min="11" max="12" width="14.42578125" style="106" customWidth="1"/>
    <col min="13" max="13" width="17.140625" style="106" bestFit="1" customWidth="1"/>
    <col min="14" max="14" width="16.85546875" style="106" bestFit="1" customWidth="1"/>
    <col min="15" max="15" width="16.28515625" style="106" bestFit="1" customWidth="1"/>
    <col min="16" max="16" width="11.85546875" style="106" bestFit="1" customWidth="1"/>
    <col min="17" max="16384" width="11.42578125" style="106"/>
  </cols>
  <sheetData>
    <row r="1" spans="2:16" ht="16.5" thickBot="1" x14ac:dyDescent="0.3">
      <c r="B1" s="105"/>
    </row>
    <row r="2" spans="2:16" ht="16.5" thickBot="1" x14ac:dyDescent="0.3">
      <c r="C2" s="107" t="str">
        <f>'BAB November'!$C$2</f>
        <v>BAB Monat November 20xx</v>
      </c>
    </row>
    <row r="3" spans="2:16" x14ac:dyDescent="0.25">
      <c r="C3" s="108"/>
      <c r="D3" s="109"/>
      <c r="E3" s="108"/>
      <c r="F3" s="110" t="s">
        <v>4</v>
      </c>
      <c r="G3" s="111" t="s">
        <v>3</v>
      </c>
      <c r="H3" s="110" t="s">
        <v>2</v>
      </c>
      <c r="I3" s="112" t="s">
        <v>1</v>
      </c>
      <c r="J3" s="113" t="s">
        <v>10</v>
      </c>
      <c r="K3" s="114"/>
      <c r="L3" s="115"/>
      <c r="M3" s="111" t="s">
        <v>11</v>
      </c>
      <c r="N3" s="116" t="s">
        <v>12</v>
      </c>
      <c r="O3" s="115" t="s">
        <v>13</v>
      </c>
    </row>
    <row r="4" spans="2:16" x14ac:dyDescent="0.25">
      <c r="C4" s="108"/>
      <c r="D4" s="117"/>
      <c r="E4" s="108"/>
      <c r="F4" s="116" t="s">
        <v>50</v>
      </c>
      <c r="G4" s="111" t="s">
        <v>51</v>
      </c>
      <c r="H4" s="116" t="s">
        <v>52</v>
      </c>
      <c r="I4" s="113" t="s">
        <v>53</v>
      </c>
      <c r="J4" s="113" t="s">
        <v>54</v>
      </c>
      <c r="K4" s="114"/>
      <c r="L4" s="115"/>
      <c r="M4" s="111" t="s">
        <v>55</v>
      </c>
      <c r="N4" s="116" t="s">
        <v>56</v>
      </c>
      <c r="O4" s="115" t="s">
        <v>57</v>
      </c>
    </row>
    <row r="5" spans="2:16" x14ac:dyDescent="0.25">
      <c r="C5" s="108"/>
      <c r="D5" s="117"/>
      <c r="E5" s="108"/>
      <c r="F5" s="116"/>
      <c r="G5" s="111"/>
      <c r="H5" s="116"/>
      <c r="I5" s="113"/>
      <c r="J5" s="288" t="s">
        <v>104</v>
      </c>
      <c r="K5" s="289"/>
      <c r="L5" s="115" t="s">
        <v>105</v>
      </c>
      <c r="M5" s="111"/>
      <c r="N5" s="116"/>
      <c r="O5" s="115"/>
    </row>
    <row r="6" spans="2:16" ht="16.5" thickBot="1" x14ac:dyDescent="0.3">
      <c r="B6" s="118" t="s">
        <v>14</v>
      </c>
      <c r="C6" s="119" t="s">
        <v>15</v>
      </c>
      <c r="D6" s="120" t="s">
        <v>16</v>
      </c>
      <c r="E6" s="119" t="s">
        <v>5</v>
      </c>
      <c r="F6" s="120"/>
      <c r="G6" s="120"/>
      <c r="H6" s="120"/>
      <c r="I6" s="121"/>
      <c r="J6" s="120" t="s">
        <v>100</v>
      </c>
      <c r="K6" s="120" t="s">
        <v>99</v>
      </c>
      <c r="L6" s="122" t="s">
        <v>107</v>
      </c>
      <c r="M6" s="119"/>
      <c r="N6" s="120"/>
      <c r="O6" s="122"/>
    </row>
    <row r="7" spans="2:16" ht="16.5" thickBot="1" x14ac:dyDescent="0.3">
      <c r="B7" s="106" t="s">
        <v>17</v>
      </c>
      <c r="C7" s="123" t="s">
        <v>6</v>
      </c>
      <c r="D7" s="124">
        <f>'BAB November'!D5</f>
        <v>43000</v>
      </c>
      <c r="E7" s="123" t="str">
        <f>'BAB November'!E5</f>
        <v>Rechnungen (direkt</v>
      </c>
      <c r="F7" s="125">
        <f>'BAB November'!F5</f>
        <v>6000</v>
      </c>
      <c r="G7" s="126">
        <f>'BAB November'!G5</f>
        <v>4000</v>
      </c>
      <c r="H7" s="125">
        <f>'BAB November'!H5</f>
        <v>5000</v>
      </c>
      <c r="I7" s="127">
        <f>'BAB November'!I5</f>
        <v>3000</v>
      </c>
      <c r="J7" s="125">
        <f>Maschinenarbeitsplatz!J7</f>
        <v>0</v>
      </c>
      <c r="K7" s="125">
        <f>Maschinenarbeitsplatz!K7</f>
        <v>12000</v>
      </c>
      <c r="L7" s="128">
        <f>Maschinenarbeitsplatz!L7</f>
        <v>0</v>
      </c>
      <c r="M7" s="126">
        <f>'BAB November'!K5</f>
        <v>10000</v>
      </c>
      <c r="N7" s="125">
        <f>'BAB November'!L5</f>
        <v>2000</v>
      </c>
      <c r="O7" s="128">
        <f>'BAB November'!M5</f>
        <v>1000</v>
      </c>
      <c r="P7" s="129"/>
    </row>
    <row r="8" spans="2:16" ht="16.5" thickBot="1" x14ac:dyDescent="0.3">
      <c r="B8" s="106" t="s">
        <v>18</v>
      </c>
      <c r="C8" s="130" t="s">
        <v>7</v>
      </c>
      <c r="D8" s="131">
        <f>'BAB November'!D6</f>
        <v>184000</v>
      </c>
      <c r="E8" s="123" t="str">
        <f>'BAB November'!E6</f>
        <v>Lohnlisten (direkt)</v>
      </c>
      <c r="F8" s="132">
        <f>'BAB November'!F6</f>
        <v>35000</v>
      </c>
      <c r="G8" s="133">
        <f>'BAB November'!G6</f>
        <v>28000</v>
      </c>
      <c r="H8" s="132">
        <f>'BAB November'!H6</f>
        <v>19000</v>
      </c>
      <c r="I8" s="134">
        <f>'BAB November'!I6</f>
        <v>13000</v>
      </c>
      <c r="J8" s="132">
        <f>Maschinenarbeitsplatz!J8</f>
        <v>0</v>
      </c>
      <c r="K8" s="132">
        <f>Maschinenarbeitsplatz!K8</f>
        <v>0</v>
      </c>
      <c r="L8" s="135">
        <f>Maschinenarbeitsplatz!L8</f>
        <v>45000</v>
      </c>
      <c r="M8" s="133">
        <f>'BAB November'!K6</f>
        <v>38000</v>
      </c>
      <c r="N8" s="132">
        <f>'BAB November'!L6</f>
        <v>0</v>
      </c>
      <c r="O8" s="135">
        <f>'BAB November'!M6</f>
        <v>6000</v>
      </c>
      <c r="P8" s="129"/>
    </row>
    <row r="9" spans="2:16" ht="16.5" thickBot="1" x14ac:dyDescent="0.3">
      <c r="B9" s="106" t="s">
        <v>19</v>
      </c>
      <c r="C9" s="136" t="s">
        <v>20</v>
      </c>
      <c r="D9" s="131">
        <f>'BAB November'!D7</f>
        <v>210000</v>
      </c>
      <c r="E9" s="123" t="str">
        <f>'BAB November'!E7</f>
        <v>Lohn- &amp; Gehaltslisten (direkt)</v>
      </c>
      <c r="F9" s="132">
        <f>'BAB November'!F7</f>
        <v>32000</v>
      </c>
      <c r="G9" s="133">
        <f>'BAB November'!G7</f>
        <v>17000</v>
      </c>
      <c r="H9" s="132">
        <f>'BAB November'!H7</f>
        <v>25000</v>
      </c>
      <c r="I9" s="134">
        <f>'BAB November'!I7</f>
        <v>8000</v>
      </c>
      <c r="J9" s="132">
        <f>Maschinenarbeitsplatz!J9</f>
        <v>0</v>
      </c>
      <c r="K9" s="132">
        <f>Maschinenarbeitsplatz!K9</f>
        <v>0</v>
      </c>
      <c r="L9" s="135">
        <f>Maschinenarbeitsplatz!L9</f>
        <v>36000</v>
      </c>
      <c r="M9" s="133">
        <f>'BAB November'!K7</f>
        <v>31000</v>
      </c>
      <c r="N9" s="132">
        <f>'BAB November'!L7</f>
        <v>46000</v>
      </c>
      <c r="O9" s="135">
        <f>'BAB November'!M7</f>
        <v>15000</v>
      </c>
      <c r="P9" s="129"/>
    </row>
    <row r="10" spans="2:16" ht="16.5" thickBot="1" x14ac:dyDescent="0.3">
      <c r="B10" s="106" t="s">
        <v>21</v>
      </c>
      <c r="C10" s="123" t="s">
        <v>22</v>
      </c>
      <c r="D10" s="124">
        <f>'BAB November'!D8</f>
        <v>87500</v>
      </c>
      <c r="E10" s="123" t="str">
        <f>'BAB November'!E8</f>
        <v>Rechnungen (direkt</v>
      </c>
      <c r="F10" s="125">
        <f>'BAB November'!F8</f>
        <v>14000</v>
      </c>
      <c r="G10" s="126">
        <f>'BAB November'!G8</f>
        <v>14000</v>
      </c>
      <c r="H10" s="125">
        <f>'BAB November'!H8</f>
        <v>7000</v>
      </c>
      <c r="I10" s="127">
        <f>'BAB November'!I8</f>
        <v>14000</v>
      </c>
      <c r="J10" s="125">
        <f>Maschinenarbeitsplatz!J10</f>
        <v>3500</v>
      </c>
      <c r="K10" s="125">
        <f>Maschinenarbeitsplatz!K10</f>
        <v>14000</v>
      </c>
      <c r="L10" s="128">
        <f>Maschinenarbeitsplatz!L10</f>
        <v>0</v>
      </c>
      <c r="M10" s="126">
        <f>'BAB November'!K8</f>
        <v>14000</v>
      </c>
      <c r="N10" s="125">
        <f>'BAB November'!L8</f>
        <v>3500</v>
      </c>
      <c r="O10" s="128">
        <f>'BAB November'!M8</f>
        <v>3500</v>
      </c>
      <c r="P10" s="129"/>
    </row>
    <row r="11" spans="2:16" ht="16.5" thickBot="1" x14ac:dyDescent="0.3">
      <c r="B11" s="106" t="s">
        <v>24</v>
      </c>
      <c r="C11" s="130" t="s">
        <v>58</v>
      </c>
      <c r="D11" s="131">
        <f>'BAB November'!D9</f>
        <v>52000</v>
      </c>
      <c r="E11" s="123" t="str">
        <f>'BAB November'!E9</f>
        <v>Schlüssel</v>
      </c>
      <c r="F11" s="132">
        <f>'BAB November'!F9</f>
        <v>4000</v>
      </c>
      <c r="G11" s="133">
        <f>'BAB November'!G9</f>
        <v>4000</v>
      </c>
      <c r="H11" s="132">
        <f>'BAB November'!H9</f>
        <v>8000</v>
      </c>
      <c r="I11" s="134">
        <f>'BAB November'!I9</f>
        <v>0</v>
      </c>
      <c r="J11" s="132">
        <f>Maschinenarbeitsplatz!J11</f>
        <v>4000</v>
      </c>
      <c r="K11" s="132">
        <f>Maschinenarbeitsplatz!K11</f>
        <v>0</v>
      </c>
      <c r="L11" s="135">
        <f>Maschinenarbeitsplatz!L11</f>
        <v>0</v>
      </c>
      <c r="M11" s="133">
        <f>'BAB November'!K9</f>
        <v>4000</v>
      </c>
      <c r="N11" s="132">
        <f>'BAB November'!L9</f>
        <v>12000</v>
      </c>
      <c r="O11" s="135">
        <f>'BAB November'!M9</f>
        <v>16000</v>
      </c>
      <c r="P11" s="129"/>
    </row>
    <row r="12" spans="2:16" ht="16.5" thickBot="1" x14ac:dyDescent="0.3">
      <c r="B12" s="106" t="s">
        <v>25</v>
      </c>
      <c r="C12" s="123" t="s">
        <v>26</v>
      </c>
      <c r="D12" s="124">
        <f>'BAB November'!D10</f>
        <v>94000</v>
      </c>
      <c r="E12" s="123" t="str">
        <f>'BAB November'!E10</f>
        <v>Rechnungen (direkt</v>
      </c>
      <c r="F12" s="125">
        <f>'BAB November'!F10</f>
        <v>9000</v>
      </c>
      <c r="G12" s="126">
        <f>'BAB November'!G10</f>
        <v>8000</v>
      </c>
      <c r="H12" s="125">
        <f>'BAB November'!H10</f>
        <v>7000</v>
      </c>
      <c r="I12" s="127">
        <f>'BAB November'!I10</f>
        <v>5000</v>
      </c>
      <c r="J12" s="132">
        <f>Maschinenarbeitsplatz!J12</f>
        <v>12000</v>
      </c>
      <c r="K12" s="125">
        <f>Maschinenarbeitsplatz!K12</f>
        <v>0</v>
      </c>
      <c r="L12" s="128">
        <f>Maschinenarbeitsplatz!L12</f>
        <v>0</v>
      </c>
      <c r="M12" s="126">
        <f>'BAB November'!K10</f>
        <v>11000</v>
      </c>
      <c r="N12" s="125">
        <f>'BAB November'!L10</f>
        <v>24000</v>
      </c>
      <c r="O12" s="128">
        <f>'BAB November'!M10</f>
        <v>18000</v>
      </c>
      <c r="P12" s="129"/>
    </row>
    <row r="13" spans="2:16" ht="16.5" thickBot="1" x14ac:dyDescent="0.3">
      <c r="B13" s="106" t="s">
        <v>27</v>
      </c>
      <c r="C13" s="130" t="s">
        <v>0</v>
      </c>
      <c r="D13" s="131">
        <f>'BAB November'!D11</f>
        <v>518000</v>
      </c>
      <c r="E13" s="123" t="str">
        <f>'BAB November'!E11</f>
        <v>Gehaltslisten (direkt)</v>
      </c>
      <c r="F13" s="132">
        <f>'BAB November'!F11</f>
        <v>68000</v>
      </c>
      <c r="G13" s="133">
        <f>'BAB November'!G11</f>
        <v>37000</v>
      </c>
      <c r="H13" s="132">
        <f>'BAB November'!H11</f>
        <v>42000</v>
      </c>
      <c r="I13" s="134">
        <f>'BAB November'!I11</f>
        <v>18000</v>
      </c>
      <c r="J13" s="132">
        <f>Maschinenarbeitsplatz!J13</f>
        <v>84000</v>
      </c>
      <c r="K13" s="132">
        <f>Maschinenarbeitsplatz!K13</f>
        <v>0</v>
      </c>
      <c r="L13" s="135">
        <f>Maschinenarbeitsplatz!L13</f>
        <v>0</v>
      </c>
      <c r="M13" s="133">
        <f>'BAB November'!K11</f>
        <v>76000</v>
      </c>
      <c r="N13" s="132">
        <f>'BAB November'!L11</f>
        <v>154000</v>
      </c>
      <c r="O13" s="135">
        <f>'BAB November'!M11</f>
        <v>39000</v>
      </c>
      <c r="P13" s="129"/>
    </row>
    <row r="14" spans="2:16" ht="16.5" thickBot="1" x14ac:dyDescent="0.3">
      <c r="B14" s="106" t="s">
        <v>28</v>
      </c>
      <c r="C14" s="136" t="s">
        <v>9</v>
      </c>
      <c r="D14" s="131">
        <f>'BAB November'!D12</f>
        <v>48000</v>
      </c>
      <c r="E14" s="123" t="str">
        <f>'BAB November'!E12</f>
        <v>Beschäftigtenzahl</v>
      </c>
      <c r="F14" s="132">
        <f>'BAB November'!F12</f>
        <v>3000</v>
      </c>
      <c r="G14" s="133">
        <f>'BAB November'!G12</f>
        <v>3000</v>
      </c>
      <c r="H14" s="132">
        <f>'BAB November'!H12</f>
        <v>6000</v>
      </c>
      <c r="I14" s="134">
        <f>'BAB November'!I12</f>
        <v>6000</v>
      </c>
      <c r="J14" s="132">
        <f>Maschinenarbeitsplatz!J14</f>
        <v>0</v>
      </c>
      <c r="K14" s="132">
        <f>Maschinenarbeitsplatz!K14</f>
        <v>0</v>
      </c>
      <c r="L14" s="135">
        <f>Maschinenarbeitsplatz!L14</f>
        <v>6000</v>
      </c>
      <c r="M14" s="133">
        <f>'BAB November'!K12</f>
        <v>6000</v>
      </c>
      <c r="N14" s="132">
        <f>'BAB November'!L12</f>
        <v>12000</v>
      </c>
      <c r="O14" s="135">
        <f>'BAB November'!M12</f>
        <v>6000</v>
      </c>
      <c r="P14" s="129"/>
    </row>
    <row r="15" spans="2:16" ht="16.5" thickBot="1" x14ac:dyDescent="0.3">
      <c r="B15" s="106" t="s">
        <v>29</v>
      </c>
      <c r="C15" s="136" t="s">
        <v>59</v>
      </c>
      <c r="D15" s="131">
        <f>'BAB November'!D13</f>
        <v>28000</v>
      </c>
      <c r="E15" s="123" t="str">
        <f>'BAB November'!E13</f>
        <v>Raumgrößen in m2</v>
      </c>
      <c r="F15" s="132">
        <f>'BAB November'!F13</f>
        <v>2000</v>
      </c>
      <c r="G15" s="133">
        <f>'BAB November'!G13</f>
        <v>4000</v>
      </c>
      <c r="H15" s="132">
        <f>'BAB November'!H13</f>
        <v>2000</v>
      </c>
      <c r="I15" s="134">
        <f>'BAB November'!I13</f>
        <v>2000</v>
      </c>
      <c r="J15" s="132">
        <f>Maschinenarbeitsplatz!J15</f>
        <v>6000</v>
      </c>
      <c r="K15" s="132">
        <f>Maschinenarbeitsplatz!K15</f>
        <v>0</v>
      </c>
      <c r="L15" s="135">
        <f>Maschinenarbeitsplatz!L15</f>
        <v>0</v>
      </c>
      <c r="M15" s="133">
        <f>'BAB November'!K13</f>
        <v>6000</v>
      </c>
      <c r="N15" s="132">
        <f>'BAB November'!L13</f>
        <v>4000</v>
      </c>
      <c r="O15" s="135">
        <f>'BAB November'!M13</f>
        <v>2000</v>
      </c>
      <c r="P15" s="129"/>
    </row>
    <row r="16" spans="2:16" ht="16.5" thickBot="1" x14ac:dyDescent="0.3">
      <c r="B16" s="106" t="s">
        <v>60</v>
      </c>
      <c r="C16" s="136" t="s">
        <v>61</v>
      </c>
      <c r="D16" s="131">
        <f>'BAB November'!D14</f>
        <v>165000</v>
      </c>
      <c r="E16" s="123" t="str">
        <f>'BAB November'!E14</f>
        <v>Anlagenwerte in T€</v>
      </c>
      <c r="F16" s="132">
        <f>'BAB November'!F14</f>
        <v>33000</v>
      </c>
      <c r="G16" s="133">
        <f>'BAB November'!G14</f>
        <v>22000</v>
      </c>
      <c r="H16" s="132">
        <f>'BAB November'!H14</f>
        <v>11000</v>
      </c>
      <c r="I16" s="134">
        <f>'BAB November'!I14</f>
        <v>11000</v>
      </c>
      <c r="J16" s="132">
        <f>Maschinenarbeitsplatz!J16</f>
        <v>33000</v>
      </c>
      <c r="K16" s="132">
        <f>Maschinenarbeitsplatz!K16</f>
        <v>0</v>
      </c>
      <c r="L16" s="135">
        <f>Maschinenarbeitsplatz!L16</f>
        <v>0</v>
      </c>
      <c r="M16" s="133">
        <f>'BAB November'!K14</f>
        <v>33000</v>
      </c>
      <c r="N16" s="132">
        <f>'BAB November'!L14</f>
        <v>11000</v>
      </c>
      <c r="O16" s="135">
        <f>'BAB November'!M14</f>
        <v>11000</v>
      </c>
      <c r="P16" s="129"/>
    </row>
    <row r="17" spans="2:16" ht="16.5" thickBot="1" x14ac:dyDescent="0.3">
      <c r="B17" s="106" t="s">
        <v>62</v>
      </c>
      <c r="C17" s="123" t="s">
        <v>8</v>
      </c>
      <c r="D17" s="124">
        <f>'BAB November'!D15</f>
        <v>116000</v>
      </c>
      <c r="E17" s="123" t="str">
        <f>'BAB November'!E15</f>
        <v>Investitionsplanung</v>
      </c>
      <c r="F17" s="137">
        <f>'BAB November'!F15</f>
        <v>34000</v>
      </c>
      <c r="G17" s="137">
        <f>'BAB November'!G15</f>
        <v>12000</v>
      </c>
      <c r="H17" s="137">
        <f>'BAB November'!H15</f>
        <v>2000</v>
      </c>
      <c r="I17" s="137">
        <f>'BAB November'!I15</f>
        <v>8000</v>
      </c>
      <c r="J17" s="132">
        <f>Maschinenarbeitsplatz!J17</f>
        <v>27000</v>
      </c>
      <c r="K17" s="137">
        <f>Maschinenarbeitsplatz!K17</f>
        <v>0</v>
      </c>
      <c r="L17" s="138">
        <f>Maschinenarbeitsplatz!L17</f>
        <v>0</v>
      </c>
      <c r="M17" s="137">
        <f>'BAB November'!K15</f>
        <v>25000</v>
      </c>
      <c r="N17" s="137">
        <f>'BAB November'!L15</f>
        <v>6000</v>
      </c>
      <c r="O17" s="137">
        <f>'BAB November'!M15</f>
        <v>2000</v>
      </c>
      <c r="P17" s="129"/>
    </row>
    <row r="18" spans="2:16" ht="16.5" thickBot="1" x14ac:dyDescent="0.3">
      <c r="C18" s="139" t="s">
        <v>32</v>
      </c>
      <c r="D18" s="140">
        <f>'BAB November'!D16</f>
        <v>1545500</v>
      </c>
      <c r="E18" s="141"/>
      <c r="F18" s="142">
        <f>'BAB November'!F16</f>
        <v>240000</v>
      </c>
      <c r="G18" s="143">
        <f>'BAB November'!G16</f>
        <v>153000</v>
      </c>
      <c r="H18" s="144">
        <f>'BAB November'!H16</f>
        <v>134000</v>
      </c>
      <c r="I18" s="145">
        <f>'BAB November'!I16</f>
        <v>88000</v>
      </c>
      <c r="J18" s="145">
        <f>SUM(J7:J17)</f>
        <v>169500</v>
      </c>
      <c r="K18" s="143">
        <f>SUM(K7:K17)</f>
        <v>26000</v>
      </c>
      <c r="L18" s="144">
        <f>SUM(L7:L17)</f>
        <v>87000</v>
      </c>
      <c r="M18" s="145">
        <f>'BAB November'!K16</f>
        <v>254000</v>
      </c>
      <c r="N18" s="145">
        <f>'BAB November'!L16</f>
        <v>274500</v>
      </c>
      <c r="O18" s="143">
        <f>'BAB November'!M16</f>
        <v>119500</v>
      </c>
      <c r="P18" s="129"/>
    </row>
    <row r="19" spans="2:16" ht="16.5" thickBot="1" x14ac:dyDescent="0.3">
      <c r="F19" s="146" t="str">
        <f>'BAB November'!F17</f>
        <v>Umlage</v>
      </c>
      <c r="G19" s="147">
        <f>'BAB November'!G17</f>
        <v>12000</v>
      </c>
      <c r="H19" s="147">
        <f>'BAB November'!H17</f>
        <v>12000</v>
      </c>
      <c r="I19" s="147">
        <f>'BAB November'!I17</f>
        <v>36000</v>
      </c>
      <c r="J19" s="148">
        <f>Maschinenarbeitsplatz!J19</f>
        <v>0</v>
      </c>
      <c r="K19" s="125">
        <f>Maschinenarbeitsplatz!K19</f>
        <v>72000</v>
      </c>
      <c r="L19" s="149">
        <f>Maschinenarbeitsplatz!L19</f>
        <v>0</v>
      </c>
      <c r="M19" s="148">
        <f>'BAB November'!K17</f>
        <v>60000</v>
      </c>
      <c r="N19" s="148">
        <f>'BAB November'!L17</f>
        <v>36000</v>
      </c>
      <c r="O19" s="150">
        <f>'BAB November'!M17</f>
        <v>12000</v>
      </c>
    </row>
    <row r="20" spans="2:16" ht="16.5" thickBot="1" x14ac:dyDescent="0.3">
      <c r="C20" s="139" t="s">
        <v>32</v>
      </c>
      <c r="D20" s="141"/>
      <c r="E20" s="141"/>
      <c r="F20" s="141"/>
      <c r="G20" s="143">
        <f>'BAB November'!G18</f>
        <v>165000</v>
      </c>
      <c r="H20" s="151">
        <f>'BAB November'!H18</f>
        <v>146000</v>
      </c>
      <c r="I20" s="152">
        <f>'BAB November'!I18</f>
        <v>124000</v>
      </c>
      <c r="J20" s="152">
        <f>SUM(J18:J19)</f>
        <v>169500</v>
      </c>
      <c r="K20" s="153">
        <f>SUM(K18:K19)</f>
        <v>98000</v>
      </c>
      <c r="L20" s="151">
        <f>SUM(L18:L19)</f>
        <v>87000</v>
      </c>
      <c r="M20" s="152">
        <f>'BAB November'!K18</f>
        <v>314000</v>
      </c>
      <c r="N20" s="152">
        <f>'BAB November'!L18</f>
        <v>310500</v>
      </c>
      <c r="O20" s="153">
        <f>'BAB November'!M18</f>
        <v>131500</v>
      </c>
    </row>
    <row r="21" spans="2:16" ht="16.5" thickBot="1" x14ac:dyDescent="0.3">
      <c r="G21" s="146" t="str">
        <f>'BAB November'!G19</f>
        <v>Umlage</v>
      </c>
      <c r="H21" s="147">
        <f>'BAB November'!H19</f>
        <v>30000</v>
      </c>
      <c r="I21" s="154">
        <f>'BAB November'!I19</f>
        <v>15000</v>
      </c>
      <c r="J21" s="148">
        <f>Maschinenarbeitsplatz!J21</f>
        <v>0</v>
      </c>
      <c r="K21" s="125">
        <f>Maschinenarbeitsplatz!K21</f>
        <v>22500</v>
      </c>
      <c r="L21" s="149">
        <f>Maschinenarbeitsplatz!L21</f>
        <v>0</v>
      </c>
      <c r="M21" s="148">
        <f>'BAB November'!K19</f>
        <v>15000</v>
      </c>
      <c r="N21" s="148">
        <f>'BAB November'!L19</f>
        <v>37500</v>
      </c>
      <c r="O21" s="150">
        <f>'BAB November'!M19</f>
        <v>45000</v>
      </c>
    </row>
    <row r="22" spans="2:16" ht="16.5" thickBot="1" x14ac:dyDescent="0.3">
      <c r="C22" s="139" t="s">
        <v>32</v>
      </c>
      <c r="D22" s="141"/>
      <c r="E22" s="141"/>
      <c r="F22" s="141"/>
      <c r="G22" s="141"/>
      <c r="H22" s="151">
        <f>'BAB November'!H20</f>
        <v>176000</v>
      </c>
      <c r="I22" s="152">
        <f>'BAB November'!I20</f>
        <v>139000</v>
      </c>
      <c r="J22" s="152">
        <f>SUM(J20:J21)</f>
        <v>169500</v>
      </c>
      <c r="K22" s="153">
        <f>SUM(K20:K21)</f>
        <v>120500</v>
      </c>
      <c r="L22" s="151">
        <f>SUM(L20:L21)</f>
        <v>87000</v>
      </c>
      <c r="M22" s="152">
        <f>'BAB November'!K20</f>
        <v>329000</v>
      </c>
      <c r="N22" s="152">
        <f>'BAB November'!L20</f>
        <v>348000</v>
      </c>
      <c r="O22" s="153">
        <f>'BAB November'!M20</f>
        <v>176500</v>
      </c>
    </row>
    <row r="23" spans="2:16" ht="16.5" thickBot="1" x14ac:dyDescent="0.3">
      <c r="I23" s="146" t="str">
        <f>'BAB November'!I21</f>
        <v>Umlage</v>
      </c>
      <c r="J23" s="155">
        <f>Maschinenarbeitsplatz!J23</f>
        <v>83400</v>
      </c>
      <c r="K23" s="156">
        <f>Maschinenarbeitsplatz!K23</f>
        <v>0</v>
      </c>
      <c r="L23" s="157">
        <f>Maschinenarbeitsplatz!L23</f>
        <v>0</v>
      </c>
      <c r="M23" s="158">
        <f>'BAB November'!K21</f>
        <v>55600</v>
      </c>
      <c r="N23" s="159"/>
      <c r="O23" s="150"/>
    </row>
    <row r="24" spans="2:16" x14ac:dyDescent="0.25">
      <c r="J24" s="160">
        <f>SUM(J22:J23)</f>
        <v>252900</v>
      </c>
      <c r="K24" s="160">
        <f>SUM(K22:K23)</f>
        <v>120500</v>
      </c>
      <c r="L24" s="161">
        <f>SUM(L22:L23)</f>
        <v>87000</v>
      </c>
      <c r="M24" s="162">
        <f>'BAB November'!K22</f>
        <v>384600</v>
      </c>
      <c r="N24" s="160">
        <f>N22</f>
        <v>348000</v>
      </c>
      <c r="O24" s="160">
        <f>O22</f>
        <v>176500</v>
      </c>
    </row>
    <row r="25" spans="2:16" x14ac:dyDescent="0.25">
      <c r="C25" s="163" t="s">
        <v>30</v>
      </c>
      <c r="D25" s="164"/>
      <c r="E25" s="164"/>
      <c r="F25" s="164"/>
      <c r="G25" s="164"/>
      <c r="H25" s="164">
        <f>'BAB November'!H23</f>
        <v>1100000</v>
      </c>
      <c r="I25" s="164"/>
      <c r="J25" s="290">
        <f>8400/350*30</f>
        <v>720</v>
      </c>
      <c r="K25" s="290"/>
      <c r="L25" s="165">
        <f>'BAB November'!J23</f>
        <v>18000</v>
      </c>
      <c r="M25" s="165">
        <f>'BAB November'!K23</f>
        <v>200000</v>
      </c>
      <c r="N25" s="166">
        <f>'BAB November'!L23</f>
        <v>2183000</v>
      </c>
      <c r="O25" s="167">
        <f>'BAB November'!M23</f>
        <v>2183000</v>
      </c>
    </row>
    <row r="26" spans="2:16" x14ac:dyDescent="0.25">
      <c r="C26" s="163"/>
      <c r="D26" s="168"/>
      <c r="E26" s="168"/>
      <c r="F26" s="168"/>
      <c r="G26" s="168"/>
      <c r="H26" s="163"/>
      <c r="I26" s="168"/>
      <c r="J26" s="169">
        <f>J24</f>
        <v>252900</v>
      </c>
      <c r="K26" s="170">
        <f>K24/J25</f>
        <v>167.36111111111111</v>
      </c>
      <c r="L26" s="163"/>
      <c r="M26" s="163"/>
      <c r="N26" s="163"/>
      <c r="O26" s="171"/>
    </row>
    <row r="27" spans="2:16" x14ac:dyDescent="0.25">
      <c r="C27" s="163" t="s">
        <v>124</v>
      </c>
      <c r="D27" s="163"/>
      <c r="E27" s="163"/>
      <c r="F27" s="163"/>
      <c r="G27" s="163"/>
      <c r="H27" s="172">
        <f>H22/H25</f>
        <v>0.16</v>
      </c>
      <c r="I27" s="163"/>
      <c r="J27" s="291">
        <f>(J24+K24)/J25</f>
        <v>518.61111111111109</v>
      </c>
      <c r="K27" s="291"/>
      <c r="L27" s="172">
        <f>L24/L25</f>
        <v>4.833333333333333</v>
      </c>
      <c r="M27" s="172">
        <f>M24/M25</f>
        <v>1.923</v>
      </c>
      <c r="N27" s="172">
        <f>N24/N25</f>
        <v>0.15941365093907467</v>
      </c>
      <c r="O27" s="173">
        <f>O24/O25</f>
        <v>8.0852038479157118E-2</v>
      </c>
    </row>
    <row r="28" spans="2:16" x14ac:dyDescent="0.25">
      <c r="C28" s="177" t="s">
        <v>132</v>
      </c>
      <c r="D28" s="177"/>
      <c r="E28" s="177"/>
      <c r="F28" s="177"/>
      <c r="G28" s="178"/>
      <c r="H28" s="179">
        <f>SUM(H34:H39)/6</f>
        <v>0.14499999999999999</v>
      </c>
      <c r="I28" s="177"/>
      <c r="J28" s="295">
        <f>SUM(J34:K39)/6</f>
        <v>508.33333333333331</v>
      </c>
      <c r="K28" s="295"/>
      <c r="L28" s="179">
        <f t="shared" ref="L28:O28" si="0">SUM(L34:L39)/6</f>
        <v>4.8214999999999995</v>
      </c>
      <c r="M28" s="179">
        <f t="shared" si="0"/>
        <v>2.0583333333333336</v>
      </c>
      <c r="N28" s="179">
        <f t="shared" si="0"/>
        <v>0.16083333333333336</v>
      </c>
      <c r="O28" s="180">
        <f t="shared" si="0"/>
        <v>9.9999999999999992E-2</v>
      </c>
    </row>
    <row r="29" spans="2:16" x14ac:dyDescent="0.25">
      <c r="C29" s="177" t="s">
        <v>133</v>
      </c>
      <c r="D29" s="177"/>
      <c r="E29" s="177"/>
      <c r="F29" s="177"/>
      <c r="G29" s="177"/>
      <c r="H29" s="181">
        <f>H28*H25</f>
        <v>159500</v>
      </c>
      <c r="I29" s="177"/>
      <c r="J29" s="296">
        <f>J28*J25</f>
        <v>366000</v>
      </c>
      <c r="K29" s="296"/>
      <c r="L29" s="181">
        <f t="shared" ref="L29:O29" si="1">L28*L25</f>
        <v>86786.999999999985</v>
      </c>
      <c r="M29" s="181">
        <f t="shared" si="1"/>
        <v>411666.66666666669</v>
      </c>
      <c r="N29" s="181">
        <f t="shared" si="1"/>
        <v>351099.16666666674</v>
      </c>
      <c r="O29" s="182">
        <f t="shared" si="1"/>
        <v>218299.99999999997</v>
      </c>
    </row>
    <row r="30" spans="2:16" x14ac:dyDescent="0.25">
      <c r="C30" s="177" t="s">
        <v>134</v>
      </c>
      <c r="D30" s="183">
        <f>SUM(H30:O30)</f>
        <v>47852.833333333387</v>
      </c>
      <c r="E30" s="177"/>
      <c r="F30" s="177"/>
      <c r="G30" s="177"/>
      <c r="H30" s="183">
        <f>H29-H22</f>
        <v>-16500</v>
      </c>
      <c r="I30" s="183"/>
      <c r="J30" s="297">
        <f>J29-J24-K24</f>
        <v>-7400</v>
      </c>
      <c r="K30" s="297"/>
      <c r="L30" s="183">
        <f>L29-L24</f>
        <v>-213.00000000001455</v>
      </c>
      <c r="M30" s="183">
        <f t="shared" ref="M30:O30" si="2">M29-M24</f>
        <v>27066.666666666686</v>
      </c>
      <c r="N30" s="183">
        <f t="shared" si="2"/>
        <v>3099.1666666667443</v>
      </c>
      <c r="O30" s="184">
        <f t="shared" si="2"/>
        <v>41799.999999999971</v>
      </c>
      <c r="P30" s="176"/>
    </row>
    <row r="31" spans="2:16" x14ac:dyDescent="0.25">
      <c r="C31" s="177"/>
      <c r="D31" s="177"/>
      <c r="E31" s="177"/>
      <c r="F31" s="177"/>
      <c r="G31" s="177"/>
      <c r="H31" s="179">
        <f>H30/H29</f>
        <v>-0.10344827586206896</v>
      </c>
      <c r="I31" s="252"/>
      <c r="J31" s="298">
        <f>J30/J29</f>
        <v>-2.0218579234972677E-2</v>
      </c>
      <c r="K31" s="298"/>
      <c r="L31" s="179">
        <f t="shared" ref="L31:O31" si="3">L30/L29</f>
        <v>-2.4542846278822242E-3</v>
      </c>
      <c r="M31" s="179">
        <f t="shared" si="3"/>
        <v>6.5748987854251054E-2</v>
      </c>
      <c r="N31" s="179">
        <f t="shared" si="3"/>
        <v>8.8270407933183463E-3</v>
      </c>
      <c r="O31" s="180">
        <f t="shared" si="3"/>
        <v>0.19147961520842866</v>
      </c>
    </row>
    <row r="32" spans="2:16" x14ac:dyDescent="0.25">
      <c r="J32" s="175"/>
      <c r="K32" s="175"/>
    </row>
    <row r="33" spans="3:15" x14ac:dyDescent="0.25">
      <c r="C33" s="185" t="s">
        <v>125</v>
      </c>
      <c r="D33" s="186"/>
      <c r="E33" s="186"/>
      <c r="F33" s="186"/>
      <c r="G33" s="186"/>
      <c r="H33" s="186"/>
      <c r="I33" s="186"/>
      <c r="J33" s="187"/>
      <c r="K33" s="187"/>
      <c r="L33" s="186"/>
      <c r="M33" s="186"/>
      <c r="N33" s="186"/>
      <c r="O33" s="186"/>
    </row>
    <row r="34" spans="3:15" x14ac:dyDescent="0.25">
      <c r="C34" s="186" t="s">
        <v>126</v>
      </c>
      <c r="D34" s="186"/>
      <c r="E34" s="186"/>
      <c r="F34" s="186"/>
      <c r="G34" s="186"/>
      <c r="H34" s="188">
        <v>0.16</v>
      </c>
      <c r="I34" s="186"/>
      <c r="J34" s="294">
        <v>520</v>
      </c>
      <c r="K34" s="294"/>
      <c r="L34" s="188">
        <v>4.835</v>
      </c>
      <c r="M34" s="188">
        <v>1.91</v>
      </c>
      <c r="N34" s="188">
        <v>0.161</v>
      </c>
      <c r="O34" s="188">
        <v>0.08</v>
      </c>
    </row>
    <row r="35" spans="3:15" x14ac:dyDescent="0.25">
      <c r="C35" s="186" t="s">
        <v>127</v>
      </c>
      <c r="D35" s="186"/>
      <c r="E35" s="186"/>
      <c r="F35" s="186"/>
      <c r="G35" s="186"/>
      <c r="H35" s="188">
        <v>0.15</v>
      </c>
      <c r="I35" s="186"/>
      <c r="J35" s="294">
        <v>500</v>
      </c>
      <c r="K35" s="294"/>
      <c r="L35" s="188">
        <v>4.82</v>
      </c>
      <c r="M35" s="188">
        <v>1.92</v>
      </c>
      <c r="N35" s="188">
        <v>0.158</v>
      </c>
      <c r="O35" s="188">
        <v>0.09</v>
      </c>
    </row>
    <row r="36" spans="3:15" x14ac:dyDescent="0.25">
      <c r="C36" s="186" t="s">
        <v>128</v>
      </c>
      <c r="D36" s="186"/>
      <c r="E36" s="186"/>
      <c r="F36" s="186"/>
      <c r="G36" s="186"/>
      <c r="H36" s="188">
        <v>0.15</v>
      </c>
      <c r="I36" s="186"/>
      <c r="J36" s="294">
        <v>530</v>
      </c>
      <c r="K36" s="294"/>
      <c r="L36" s="188">
        <v>4.8250000000000002</v>
      </c>
      <c r="M36" s="188">
        <v>1.93</v>
      </c>
      <c r="N36" s="188">
        <v>0.16200000000000001</v>
      </c>
      <c r="O36" s="188">
        <v>0.1</v>
      </c>
    </row>
    <row r="37" spans="3:15" x14ac:dyDescent="0.25">
      <c r="C37" s="186" t="s">
        <v>129</v>
      </c>
      <c r="D37" s="186"/>
      <c r="E37" s="186"/>
      <c r="F37" s="186"/>
      <c r="G37" s="186"/>
      <c r="H37" s="188">
        <v>0.14000000000000001</v>
      </c>
      <c r="I37" s="186"/>
      <c r="J37" s="294">
        <v>510</v>
      </c>
      <c r="K37" s="294"/>
      <c r="L37" s="188">
        <v>4.8099999999999996</v>
      </c>
      <c r="M37" s="188">
        <v>2.21</v>
      </c>
      <c r="N37" s="188">
        <v>0.159</v>
      </c>
      <c r="O37" s="188">
        <v>0.1</v>
      </c>
    </row>
    <row r="38" spans="3:15" x14ac:dyDescent="0.25">
      <c r="C38" s="186" t="s">
        <v>130</v>
      </c>
      <c r="D38" s="186"/>
      <c r="E38" s="186"/>
      <c r="F38" s="186"/>
      <c r="G38" s="186"/>
      <c r="H38" s="188">
        <v>0.14000000000000001</v>
      </c>
      <c r="I38" s="186"/>
      <c r="J38" s="294">
        <v>500</v>
      </c>
      <c r="K38" s="294"/>
      <c r="L38" s="188">
        <v>4.819</v>
      </c>
      <c r="M38" s="188">
        <v>2.1800000000000002</v>
      </c>
      <c r="N38" s="188">
        <v>0.16200000000000001</v>
      </c>
      <c r="O38" s="188">
        <v>0.11</v>
      </c>
    </row>
    <row r="39" spans="3:15" x14ac:dyDescent="0.25">
      <c r="C39" s="186" t="s">
        <v>131</v>
      </c>
      <c r="D39" s="186"/>
      <c r="E39" s="186"/>
      <c r="F39" s="186"/>
      <c r="G39" s="186"/>
      <c r="H39" s="188">
        <v>0.13</v>
      </c>
      <c r="I39" s="186"/>
      <c r="J39" s="294">
        <v>490</v>
      </c>
      <c r="K39" s="294"/>
      <c r="L39" s="188">
        <v>4.82</v>
      </c>
      <c r="M39" s="188">
        <v>2.2000000000000002</v>
      </c>
      <c r="N39" s="188">
        <v>0.16300000000000001</v>
      </c>
      <c r="O39" s="188">
        <v>0.12</v>
      </c>
    </row>
  </sheetData>
  <mergeCells count="13">
    <mergeCell ref="J5:K5"/>
    <mergeCell ref="J25:K25"/>
    <mergeCell ref="J27:K27"/>
    <mergeCell ref="J34:K34"/>
    <mergeCell ref="J35:K35"/>
    <mergeCell ref="J31:K31"/>
    <mergeCell ref="J36:K36"/>
    <mergeCell ref="J37:K37"/>
    <mergeCell ref="J38:K38"/>
    <mergeCell ref="J39:K39"/>
    <mergeCell ref="J28:K28"/>
    <mergeCell ref="J29:K29"/>
    <mergeCell ref="J30:K30"/>
  </mergeCells>
  <conditionalFormatting sqref="H31:O31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BAB November</vt:lpstr>
      <vt:lpstr>Angebotskalkulation</vt:lpstr>
      <vt:lpstr>Kostenfunktion &amp; Gewinnschwelle</vt:lpstr>
      <vt:lpstr>Maschinenarbeitsplatz</vt:lpstr>
      <vt:lpstr>Kostendeckung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Hamann, Ulf</dc:creator>
  <cp:lastModifiedBy>HAU</cp:lastModifiedBy>
  <cp:lastPrinted>2014-01-15T19:31:28Z</cp:lastPrinted>
  <dcterms:created xsi:type="dcterms:W3CDTF">2002-12-05T16:47:24Z</dcterms:created>
  <dcterms:modified xsi:type="dcterms:W3CDTF">2017-04-17T15:18:09Z</dcterms:modified>
</cp:coreProperties>
</file>