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BS - RRL-Komm_ReWe\RRL-Komm_ReWe_NBA\"/>
    </mc:Choice>
  </mc:AlternateContent>
  <bookViews>
    <workbookView xWindow="0" yWindow="1200" windowWidth="28800" windowHeight="12420" tabRatio="819" activeTab="4"/>
  </bookViews>
  <sheets>
    <sheet name="BAB November" sheetId="10" r:id="rId1"/>
    <sheet name="Angebotskalkulation" sheetId="7" r:id="rId2"/>
    <sheet name="Kostenfunktion &amp; Gewinnschwelle" sheetId="11" r:id="rId3"/>
    <sheet name="Maschinenarbeitsplatz" sheetId="12" r:id="rId4"/>
    <sheet name="Kostendeckung" sheetId="14" r:id="rId5"/>
  </sheets>
  <calcPr calcId="152511"/>
</workbook>
</file>

<file path=xl/calcChain.xml><?xml version="1.0" encoding="utf-8"?>
<calcChain xmlns="http://schemas.openxmlformats.org/spreadsheetml/2006/main">
  <c r="M7" i="12" l="1"/>
  <c r="N7" i="12"/>
  <c r="O7" i="12"/>
  <c r="Q7" i="12"/>
  <c r="O9" i="10" l="1"/>
  <c r="O12" i="10"/>
  <c r="O13" i="10"/>
  <c r="O14" i="10"/>
  <c r="H25" i="14" l="1"/>
  <c r="M7" i="14" l="1"/>
  <c r="N7" i="14"/>
  <c r="O7" i="14"/>
  <c r="M8" i="14"/>
  <c r="N8" i="14"/>
  <c r="O8" i="14"/>
  <c r="M9" i="14"/>
  <c r="N9" i="14"/>
  <c r="O9" i="14"/>
  <c r="M25" i="14"/>
  <c r="I23" i="14"/>
  <c r="G21" i="14"/>
  <c r="F19" i="14"/>
  <c r="O17" i="14"/>
  <c r="N17" i="14"/>
  <c r="M17" i="14"/>
  <c r="I17" i="14"/>
  <c r="H17" i="14"/>
  <c r="G17" i="14"/>
  <c r="F17" i="14"/>
  <c r="E17" i="14"/>
  <c r="D17" i="14"/>
  <c r="E16" i="14"/>
  <c r="D16" i="14"/>
  <c r="E15" i="14"/>
  <c r="D15" i="14"/>
  <c r="E14" i="14"/>
  <c r="D14" i="14"/>
  <c r="O13" i="14"/>
  <c r="N13" i="14"/>
  <c r="M13" i="14"/>
  <c r="I13" i="14"/>
  <c r="H13" i="14"/>
  <c r="G13" i="14"/>
  <c r="F13" i="14"/>
  <c r="E13" i="14"/>
  <c r="D13" i="14"/>
  <c r="O12" i="14"/>
  <c r="N12" i="14"/>
  <c r="M12" i="14"/>
  <c r="I12" i="14"/>
  <c r="H12" i="14"/>
  <c r="G12" i="14"/>
  <c r="F12" i="14"/>
  <c r="E12" i="14"/>
  <c r="D12" i="14"/>
  <c r="E11" i="14"/>
  <c r="D11" i="14"/>
  <c r="O10" i="14"/>
  <c r="N10" i="14"/>
  <c r="M10" i="14"/>
  <c r="I10" i="14"/>
  <c r="H10" i="14"/>
  <c r="G10" i="14"/>
  <c r="F10" i="14"/>
  <c r="E10" i="14"/>
  <c r="D10" i="14"/>
  <c r="I9" i="14"/>
  <c r="H9" i="14"/>
  <c r="G9" i="14"/>
  <c r="F9" i="14"/>
  <c r="E9" i="14"/>
  <c r="D9" i="14"/>
  <c r="I8" i="14"/>
  <c r="H8" i="14"/>
  <c r="G8" i="14"/>
  <c r="F8" i="14"/>
  <c r="E8" i="14"/>
  <c r="D8" i="14"/>
  <c r="I7" i="14"/>
  <c r="H7" i="14"/>
  <c r="G7" i="14"/>
  <c r="F7" i="14"/>
  <c r="E7" i="14"/>
  <c r="D7" i="14"/>
  <c r="C2" i="14"/>
  <c r="E17" i="12" l="1"/>
  <c r="E16" i="12"/>
  <c r="E15" i="12"/>
  <c r="E14" i="12"/>
  <c r="E13" i="12"/>
  <c r="E12" i="12"/>
  <c r="E11" i="12"/>
  <c r="E10" i="12"/>
  <c r="E9" i="12"/>
  <c r="E8" i="12"/>
  <c r="E7" i="12"/>
  <c r="M14" i="10" l="1"/>
  <c r="O16" i="14" s="1"/>
  <c r="L14" i="10"/>
  <c r="N16" i="14" s="1"/>
  <c r="K14" i="10"/>
  <c r="M16" i="14" s="1"/>
  <c r="J14" i="10"/>
  <c r="I14" i="10"/>
  <c r="I16" i="14" s="1"/>
  <c r="H14" i="10"/>
  <c r="H16" i="14" s="1"/>
  <c r="G14" i="10"/>
  <c r="G16" i="14" s="1"/>
  <c r="F14" i="10"/>
  <c r="P14" i="10" s="1"/>
  <c r="M13" i="10"/>
  <c r="O15" i="14" s="1"/>
  <c r="L13" i="10"/>
  <c r="N15" i="14" s="1"/>
  <c r="K13" i="10"/>
  <c r="M15" i="14" s="1"/>
  <c r="J13" i="10"/>
  <c r="I13" i="10"/>
  <c r="I15" i="14" s="1"/>
  <c r="H13" i="10"/>
  <c r="H15" i="14" s="1"/>
  <c r="G13" i="10"/>
  <c r="G15" i="14" s="1"/>
  <c r="F13" i="10"/>
  <c r="P13" i="10" s="1"/>
  <c r="K12" i="10"/>
  <c r="M14" i="14" s="1"/>
  <c r="L12" i="10"/>
  <c r="N14" i="14" s="1"/>
  <c r="H12" i="10"/>
  <c r="H14" i="14" s="1"/>
  <c r="M9" i="10"/>
  <c r="O11" i="14" s="1"/>
  <c r="L9" i="10"/>
  <c r="N11" i="14" s="1"/>
  <c r="K9" i="10"/>
  <c r="M11" i="14" s="1"/>
  <c r="J9" i="10"/>
  <c r="I9" i="10"/>
  <c r="I11" i="14" s="1"/>
  <c r="H9" i="10"/>
  <c r="H11" i="14" s="1"/>
  <c r="G9" i="10"/>
  <c r="G11" i="14" s="1"/>
  <c r="F9" i="10"/>
  <c r="F11" i="14" l="1"/>
  <c r="P9" i="10"/>
  <c r="F15" i="14"/>
  <c r="F16" i="14"/>
  <c r="I12" i="10"/>
  <c r="I14" i="14" s="1"/>
  <c r="M12" i="10"/>
  <c r="O14" i="14" s="1"/>
  <c r="F12" i="10"/>
  <c r="J12" i="10"/>
  <c r="G12" i="10"/>
  <c r="G14" i="14" s="1"/>
  <c r="F14" i="14" l="1"/>
  <c r="P12" i="10"/>
  <c r="I23" i="12"/>
  <c r="G21" i="12"/>
  <c r="F19" i="12"/>
  <c r="O17" i="12"/>
  <c r="N17" i="12"/>
  <c r="M17" i="12"/>
  <c r="I17" i="12"/>
  <c r="H17" i="12"/>
  <c r="G17" i="12"/>
  <c r="F17" i="12"/>
  <c r="O16" i="12"/>
  <c r="N16" i="12"/>
  <c r="M16" i="12"/>
  <c r="I16" i="12"/>
  <c r="H16" i="12"/>
  <c r="G16" i="12"/>
  <c r="F16" i="12"/>
  <c r="O15" i="12"/>
  <c r="N15" i="12"/>
  <c r="M15" i="12"/>
  <c r="I15" i="12"/>
  <c r="H15" i="12"/>
  <c r="G15" i="12"/>
  <c r="F15" i="12"/>
  <c r="O14" i="12"/>
  <c r="N14" i="12"/>
  <c r="M14" i="12"/>
  <c r="I14" i="12"/>
  <c r="H14" i="12"/>
  <c r="G14" i="12"/>
  <c r="F14" i="12"/>
  <c r="O13" i="12"/>
  <c r="N13" i="12"/>
  <c r="M13" i="12"/>
  <c r="I13" i="12"/>
  <c r="H13" i="12"/>
  <c r="G13" i="12"/>
  <c r="F13" i="12"/>
  <c r="O12" i="12"/>
  <c r="N12" i="12"/>
  <c r="M12" i="12"/>
  <c r="I12" i="12"/>
  <c r="H12" i="12"/>
  <c r="G12" i="12"/>
  <c r="F12" i="12"/>
  <c r="O11" i="12"/>
  <c r="N11" i="12"/>
  <c r="M11" i="12"/>
  <c r="I11" i="12"/>
  <c r="H11" i="12"/>
  <c r="G11" i="12"/>
  <c r="F11" i="12"/>
  <c r="O10" i="12"/>
  <c r="N10" i="12"/>
  <c r="M10" i="12"/>
  <c r="I10" i="12"/>
  <c r="H10" i="12"/>
  <c r="G10" i="12"/>
  <c r="F10" i="12"/>
  <c r="O9" i="12"/>
  <c r="N9" i="12"/>
  <c r="M9" i="12"/>
  <c r="I9" i="12"/>
  <c r="H9" i="12"/>
  <c r="G9" i="12"/>
  <c r="F9" i="12"/>
  <c r="O8" i="12"/>
  <c r="N8" i="12"/>
  <c r="M8" i="12"/>
  <c r="I8" i="12"/>
  <c r="H8" i="12"/>
  <c r="G8" i="12"/>
  <c r="F8" i="12"/>
  <c r="I7" i="12"/>
  <c r="H7" i="12"/>
  <c r="G7" i="12"/>
  <c r="F7" i="12"/>
  <c r="C2" i="12"/>
  <c r="D17" i="12"/>
  <c r="D16" i="12"/>
  <c r="D15" i="12"/>
  <c r="D14" i="12"/>
  <c r="D13" i="12"/>
  <c r="D12" i="12"/>
  <c r="D11" i="12"/>
  <c r="D10" i="12"/>
  <c r="D9" i="12"/>
  <c r="D8" i="12"/>
  <c r="D7" i="12"/>
  <c r="M25" i="12" l="1"/>
  <c r="H25" i="12"/>
  <c r="Q8" i="12"/>
  <c r="Q9" i="12"/>
  <c r="Q10" i="12"/>
  <c r="Q11" i="12"/>
  <c r="Q12" i="12"/>
  <c r="Q13" i="12"/>
  <c r="Q14" i="12"/>
  <c r="Q15" i="12"/>
  <c r="Q16" i="12"/>
  <c r="Q17" i="12"/>
  <c r="E42" i="10" l="1"/>
  <c r="E36" i="10"/>
  <c r="E33" i="10"/>
  <c r="E30" i="10"/>
  <c r="M16" i="10"/>
  <c r="L16" i="10"/>
  <c r="K16" i="10"/>
  <c r="J16" i="10"/>
  <c r="Q18" i="12" s="1"/>
  <c r="I16" i="10"/>
  <c r="H16" i="10"/>
  <c r="G16" i="10"/>
  <c r="F16" i="10"/>
  <c r="D16" i="10"/>
  <c r="D18" i="14" s="1"/>
  <c r="G18" i="12" l="1"/>
  <c r="G18" i="14"/>
  <c r="M18" i="12"/>
  <c r="M18" i="14"/>
  <c r="H18" i="12"/>
  <c r="H18" i="14"/>
  <c r="N18" i="12"/>
  <c r="N18" i="14"/>
  <c r="J17" i="10"/>
  <c r="Q19" i="12" s="1"/>
  <c r="F18" i="14"/>
  <c r="I18" i="12"/>
  <c r="I18" i="14"/>
  <c r="O18" i="12"/>
  <c r="O18" i="14"/>
  <c r="J18" i="10"/>
  <c r="Q20" i="12" s="1"/>
  <c r="M17" i="10"/>
  <c r="F18" i="12"/>
  <c r="D18" i="12"/>
  <c r="G17" i="10"/>
  <c r="G19" i="14" s="1"/>
  <c r="K17" i="10"/>
  <c r="M19" i="14" s="1"/>
  <c r="H17" i="10"/>
  <c r="H19" i="14" s="1"/>
  <c r="L17" i="10"/>
  <c r="N19" i="14" s="1"/>
  <c r="I17" i="10"/>
  <c r="I19" i="14" s="1"/>
  <c r="O19" i="12" l="1"/>
  <c r="O19" i="14"/>
  <c r="M18" i="10"/>
  <c r="L18" i="10"/>
  <c r="N19" i="12"/>
  <c r="H18" i="10"/>
  <c r="H19" i="12"/>
  <c r="K18" i="10"/>
  <c r="M19" i="12"/>
  <c r="I18" i="10"/>
  <c r="I19" i="12"/>
  <c r="G18" i="10"/>
  <c r="G19" i="12"/>
  <c r="O20" i="12" l="1"/>
  <c r="O20" i="14"/>
  <c r="I20" i="12"/>
  <c r="I20" i="14"/>
  <c r="H20" i="12"/>
  <c r="H20" i="14"/>
  <c r="G20" i="12"/>
  <c r="G20" i="14"/>
  <c r="M20" i="12"/>
  <c r="M20" i="14"/>
  <c r="N20" i="12"/>
  <c r="N20" i="14"/>
  <c r="J19" i="10"/>
  <c r="H19" i="10"/>
  <c r="I19" i="10"/>
  <c r="L19" i="10"/>
  <c r="K19" i="10"/>
  <c r="J20" i="10"/>
  <c r="Q22" i="12" s="1"/>
  <c r="Q21" i="12"/>
  <c r="M21" i="12"/>
  <c r="M19" i="10"/>
  <c r="O21" i="14" s="1"/>
  <c r="I20" i="10" l="1"/>
  <c r="I22" i="14" s="1"/>
  <c r="I21" i="14"/>
  <c r="K20" i="10"/>
  <c r="M21" i="14"/>
  <c r="H21" i="12"/>
  <c r="H21" i="14"/>
  <c r="L20" i="10"/>
  <c r="N21" i="14"/>
  <c r="H20" i="10"/>
  <c r="H22" i="14" s="1"/>
  <c r="N21" i="12"/>
  <c r="I21" i="12"/>
  <c r="I22" i="12"/>
  <c r="J21" i="10"/>
  <c r="J22" i="10" s="1"/>
  <c r="K21" i="10"/>
  <c r="M20" i="10"/>
  <c r="O21" i="12"/>
  <c r="H25" i="10"/>
  <c r="H22" i="12"/>
  <c r="H27" i="12" s="1"/>
  <c r="H27" i="14" l="1"/>
  <c r="M23" i="12"/>
  <c r="M23" i="14"/>
  <c r="O22" i="12"/>
  <c r="O24" i="12" s="1"/>
  <c r="O22" i="14"/>
  <c r="O24" i="14" s="1"/>
  <c r="N22" i="12"/>
  <c r="N24" i="12" s="1"/>
  <c r="N22" i="14"/>
  <c r="N24" i="14" s="1"/>
  <c r="M22" i="12"/>
  <c r="M22" i="14"/>
  <c r="K22" i="10"/>
  <c r="M24" i="14" s="1"/>
  <c r="Q23" i="12"/>
  <c r="J25" i="10"/>
  <c r="Q24" i="12"/>
  <c r="E31" i="10"/>
  <c r="E32" i="10" s="1"/>
  <c r="K25" i="10"/>
  <c r="M27" i="14" l="1"/>
  <c r="M24" i="12"/>
  <c r="M27" i="12" s="1"/>
  <c r="E37" i="10"/>
  <c r="E38" i="10" s="1"/>
  <c r="E34" i="10"/>
  <c r="E35" i="10" s="1"/>
  <c r="E39" i="10" l="1"/>
  <c r="E45" i="10" s="1"/>
  <c r="L23" i="10" s="1"/>
  <c r="N25" i="14" s="1"/>
  <c r="N27" i="14" l="1"/>
  <c r="M23" i="10"/>
  <c r="L25" i="10"/>
  <c r="N25" i="12"/>
  <c r="N27" i="12" s="1"/>
  <c r="O25" i="12" l="1"/>
  <c r="O27" i="12" s="1"/>
  <c r="O25" i="14"/>
  <c r="M25" i="10"/>
  <c r="E47" i="10" s="1"/>
  <c r="E46" i="10"/>
  <c r="O27" i="14" l="1"/>
  <c r="E48" i="10"/>
</calcChain>
</file>

<file path=xl/comments1.xml><?xml version="1.0" encoding="utf-8"?>
<comments xmlns="http://schemas.openxmlformats.org/spreadsheetml/2006/main">
  <authors>
    <author>HAU</author>
  </authors>
  <commentList>
    <comment ref="E9" authorId="0" shapeId="0">
      <text>
        <r>
          <rPr>
            <b/>
            <sz val="12"/>
            <color indexed="81"/>
            <rFont val="Segoe UI"/>
            <family val="2"/>
          </rPr>
          <t>Der Verteilerschlüssel lautet:
1:1:2:0:1:1:3:4</t>
        </r>
      </text>
    </comment>
    <comment ref="E12" authorId="0" shapeId="0">
      <text>
        <r>
          <rPr>
            <b/>
            <sz val="12"/>
            <color indexed="81"/>
            <rFont val="Segoe UI"/>
            <family val="2"/>
          </rPr>
          <t>In den Abteilungen sind der Reihenfolge nach zurzeit
8:8:16:16:16:16:32:16
Mitarbeiter beschäftigt.</t>
        </r>
      </text>
    </comment>
    <comment ref="E13" authorId="0" shapeId="0">
      <text>
        <r>
          <rPr>
            <b/>
            <sz val="12"/>
            <color indexed="81"/>
            <rFont val="Segoe UI"/>
            <family val="2"/>
          </rPr>
          <t>Die Raumgerößer der Abteilungen betragen der Reihenfolge nach
140:280:140:140:420:420:280:140
Quadratmeter.</t>
        </r>
      </text>
    </comment>
    <comment ref="E14" authorId="0" shapeId="0">
      <text>
        <r>
          <rPr>
            <b/>
            <sz val="12"/>
            <color indexed="81"/>
            <rFont val="Segoe UI"/>
            <family val="2"/>
          </rPr>
          <t xml:space="preserve">Die Anlagenwerte in den Abteilungen betragen der Reihenfolge nach in T€:
300:200:100:100:300:300:100:100
</t>
        </r>
      </text>
    </comment>
    <comment ref="F16" authorId="0" shapeId="0">
      <text>
        <r>
          <rPr>
            <b/>
            <sz val="12"/>
            <color indexed="81"/>
            <rFont val="Segoe UI"/>
            <family val="2"/>
          </rPr>
          <t>Der Umlageschlüssel für die Gemeinkosten der AKS Energie lautet:
1:1:3:6:5:3:1</t>
        </r>
      </text>
    </comment>
    <comment ref="G18" authorId="0" shapeId="0">
      <text>
        <r>
          <rPr>
            <b/>
            <sz val="12"/>
            <color indexed="81"/>
            <rFont val="Segoe UI"/>
            <family val="2"/>
          </rPr>
          <t>Der Umlageschlüssel für die Gemeinkosten der AKS Fuhrpark lautet:
4:2:3:2:5:6</t>
        </r>
      </text>
    </comment>
    <comment ref="I20" authorId="0" shapeId="0">
      <text>
        <r>
          <rPr>
            <b/>
            <sz val="12"/>
            <color indexed="81"/>
            <rFont val="Segoe UI"/>
            <family val="2"/>
          </rPr>
          <t>Der Umlageschlüssel für die Gemeinkosten der HiKS Entstaubung lautet:
3:2</t>
        </r>
      </text>
    </comment>
  </commentList>
</comments>
</file>

<file path=xl/sharedStrings.xml><?xml version="1.0" encoding="utf-8"?>
<sst xmlns="http://schemas.openxmlformats.org/spreadsheetml/2006/main" count="230" uniqueCount="105">
  <si>
    <t>Gehälter</t>
  </si>
  <si>
    <t>IV.</t>
  </si>
  <si>
    <t>III.</t>
  </si>
  <si>
    <t>II.</t>
  </si>
  <si>
    <t>I.</t>
  </si>
  <si>
    <t>Verteiler</t>
  </si>
  <si>
    <t>Hilfsstoffe</t>
  </si>
  <si>
    <t>Hilfslöhne</t>
  </si>
  <si>
    <t>kalk. Zinsen</t>
  </si>
  <si>
    <t>Betriebssteuern</t>
  </si>
  <si>
    <t>V.</t>
  </si>
  <si>
    <t>VI.</t>
  </si>
  <si>
    <t>VII.</t>
  </si>
  <si>
    <t>VIII.</t>
  </si>
  <si>
    <t>Nr.</t>
  </si>
  <si>
    <t>Gemeinkostenart</t>
  </si>
  <si>
    <t>Zahlen BER</t>
  </si>
  <si>
    <t>1.</t>
  </si>
  <si>
    <t>2.</t>
  </si>
  <si>
    <t>3.</t>
  </si>
  <si>
    <t>soziale Abgaben</t>
  </si>
  <si>
    <t>4.</t>
  </si>
  <si>
    <t>Instandhaltung</t>
  </si>
  <si>
    <t>Schlüssel</t>
  </si>
  <si>
    <t>5.</t>
  </si>
  <si>
    <t>6.</t>
  </si>
  <si>
    <t>Büromaterial</t>
  </si>
  <si>
    <t>7.</t>
  </si>
  <si>
    <t>8.</t>
  </si>
  <si>
    <t>9.</t>
  </si>
  <si>
    <t>Zuschlagsgrundlagen</t>
  </si>
  <si>
    <t>Zuschlagssätze</t>
  </si>
  <si>
    <t>Summe</t>
  </si>
  <si>
    <t>BAB Monat November 20xx</t>
  </si>
  <si>
    <t>AKS Energie</t>
  </si>
  <si>
    <t>AKS Fuhrpark</t>
  </si>
  <si>
    <t>HKS Material</t>
  </si>
  <si>
    <t>HiKS Entstaubung</t>
  </si>
  <si>
    <t>HKS Reaktor</t>
  </si>
  <si>
    <t>HKS Verpackung</t>
  </si>
  <si>
    <t>HKS Verwaltung</t>
  </si>
  <si>
    <t>HKS Vertrieb</t>
  </si>
  <si>
    <t>Werbung</t>
  </si>
  <si>
    <t>Mieten</t>
  </si>
  <si>
    <t>10.</t>
  </si>
  <si>
    <t>kalk. Abschreibungen</t>
  </si>
  <si>
    <t>11.</t>
  </si>
  <si>
    <t>Umlage</t>
  </si>
  <si>
    <t>Pos.</t>
  </si>
  <si>
    <t>Kalkulationsschema</t>
  </si>
  <si>
    <t xml:space="preserve">    Fertigungsmaterial (FM)</t>
  </si>
  <si>
    <r>
      <t xml:space="preserve">= Materialkosten (MK) </t>
    </r>
    <r>
      <rPr>
        <i/>
        <sz val="11"/>
        <color theme="1"/>
        <rFont val="Calibri"/>
        <family val="2"/>
        <scheme val="minor"/>
      </rPr>
      <t>[1.+2.]</t>
    </r>
  </si>
  <si>
    <t xml:space="preserve">    Fertigungslöhne (FL)</t>
  </si>
  <si>
    <r>
      <t xml:space="preserve">= Fertigungskosten (FK) </t>
    </r>
    <r>
      <rPr>
        <i/>
        <sz val="11"/>
        <color theme="1"/>
        <rFont val="Calibri"/>
        <family val="2"/>
        <scheme val="minor"/>
      </rPr>
      <t>[4.+5.]</t>
    </r>
  </si>
  <si>
    <r>
      <t xml:space="preserve">= Fertigungskosten (FK) </t>
    </r>
    <r>
      <rPr>
        <i/>
        <sz val="11"/>
        <color theme="1"/>
        <rFont val="Calibri"/>
        <family val="2"/>
        <scheme val="minor"/>
      </rPr>
      <t>[7.+8.]</t>
    </r>
  </si>
  <si>
    <t>+ Anfangsbestand unfertige Erzeugnisse</t>
  </si>
  <si>
    <t>12.</t>
  </si>
  <si>
    <t>- Endbestand unfertige Erzeugnisse</t>
  </si>
  <si>
    <t>13.</t>
  </si>
  <si>
    <t>= Herstellkosten der fertigen Erzeugnisse</t>
  </si>
  <si>
    <t>14.</t>
  </si>
  <si>
    <t>+ Anfangsbestand fertige Erzeugnisse</t>
  </si>
  <si>
    <t>15.</t>
  </si>
  <si>
    <t>- Endbestand fertige Erzeugnisse</t>
  </si>
  <si>
    <t>16.</t>
  </si>
  <si>
    <t>17.</t>
  </si>
  <si>
    <t>18.</t>
  </si>
  <si>
    <t>19.</t>
  </si>
  <si>
    <t>= Selbstkosten des Umsatzes (SKU)</t>
  </si>
  <si>
    <t>variabel</t>
  </si>
  <si>
    <t>fix</t>
  </si>
  <si>
    <t>maschinenabhängige FGK</t>
  </si>
  <si>
    <t>Restgemein-</t>
  </si>
  <si>
    <t>Aufteilung der Gemeinkosten</t>
  </si>
  <si>
    <t>kosten</t>
  </si>
  <si>
    <t>Restgemeinkosten</t>
  </si>
  <si>
    <t>fix : variabel  =  1 : 4</t>
  </si>
  <si>
    <t>Anlagenwerte in T€</t>
  </si>
  <si>
    <t>Beschäftigtenzahl</t>
  </si>
  <si>
    <r>
      <t>Raumgrößen in m</t>
    </r>
    <r>
      <rPr>
        <vertAlign val="superscript"/>
        <sz val="12"/>
        <color indexed="8"/>
        <rFont val="Calibri"/>
        <family val="2"/>
      </rPr>
      <t>2</t>
    </r>
  </si>
  <si>
    <t>Rechnungen (direkt</t>
  </si>
  <si>
    <t>Lohnlisten (direkt)</t>
  </si>
  <si>
    <t>Gehaltslisten (direkt)</t>
  </si>
  <si>
    <t>Investitionsplanung</t>
  </si>
  <si>
    <t>Hilfszellen</t>
  </si>
  <si>
    <t>Kontrollzellen</t>
  </si>
  <si>
    <t>IST-Zuschlagssätze</t>
  </si>
  <si>
    <t>IST-Zuschlagssätze der Vormonate</t>
  </si>
  <si>
    <t>Oktober</t>
  </si>
  <si>
    <t>September</t>
  </si>
  <si>
    <t>August</t>
  </si>
  <si>
    <t>Juli</t>
  </si>
  <si>
    <t>Juni</t>
  </si>
  <si>
    <t>Mai</t>
  </si>
  <si>
    <t>NORMAL-Zuschlagssätze</t>
  </si>
  <si>
    <t>NORMAL-Gemeinkosten</t>
  </si>
  <si>
    <t>Kostenüber-/unterdeckung</t>
  </si>
  <si>
    <t>Rechnungen (direkt)</t>
  </si>
  <si>
    <r>
      <t>= Herstell</t>
    </r>
    <r>
      <rPr>
        <b/>
        <sz val="11"/>
        <color theme="1"/>
        <rFont val="Calibri"/>
        <family val="2"/>
        <scheme val="minor"/>
      </rPr>
      <t>kosten der Erzeugung</t>
    </r>
    <r>
      <rPr>
        <sz val="11"/>
        <rFont val="Calibri"/>
        <family val="2"/>
        <scheme val="minor"/>
      </rPr>
      <t xml:space="preserve"> (HKE) </t>
    </r>
    <r>
      <rPr>
        <i/>
        <sz val="11"/>
        <color theme="1"/>
        <rFont val="Calibri"/>
        <family val="2"/>
        <scheme val="minor"/>
      </rPr>
      <t>[3.+6.+9.]</t>
    </r>
  </si>
  <si>
    <r>
      <t>= Herstellkosten des Absatzes/</t>
    </r>
    <r>
      <rPr>
        <sz val="11"/>
        <rFont val="Calibri"/>
        <family val="2"/>
        <scheme val="minor"/>
      </rPr>
      <t>Umsatzes (HKU)</t>
    </r>
  </si>
  <si>
    <t>+ Materialgemeinkostenzuschlag</t>
  </si>
  <si>
    <t>+ Fertigungsgeminkostenzuschlag</t>
  </si>
  <si>
    <t>+ Verwaltungsgemeinkostenzuschlag</t>
  </si>
  <si>
    <t>+ Vertriebsgemeinkostenzuschlag</t>
  </si>
  <si>
    <t>Lohn-/Gehaltslisten (direkt)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</si>
</sst>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DM&quot;;[Red]\-#,##0.00\ &quot;DM&quot;"/>
    <numFmt numFmtId="165" formatCode="#,##0.00\ [$€];[Red]\-#,##0.00\ [$€]"/>
    <numFmt numFmtId="166" formatCode="_-* #,##0.00\ [$€-1]_-;\-* #,##0.00\ [$€-1]_-;_-* &quot;-&quot;??\ [$€-1]_-"/>
    <numFmt numFmtId="167" formatCode="_-* #,##0.00\ [$€-1]_-;\-* #,##0.00\ [$€-1]_-;_-* &quot;-&quot;??\ [$€-1]_-;_-@_-"/>
    <numFmt numFmtId="168" formatCode="#,##0.00\ &quot;€&quot;"/>
    <numFmt numFmtId="170" formatCode="_-* #,##0.00\ [$€-407]_-;\-* #,##0.00\ [$€-407]_-;_-* &quot;-&quot;??\ [$€-407]_-;_-@_-"/>
    <numFmt numFmtId="174" formatCode="0.0"/>
    <numFmt numFmtId="175" formatCode="#,##0.00\ &quot; Std.&quot;"/>
    <numFmt numFmtId="176" formatCode="#,##0.00\ &quot; €/Std.&quot;"/>
  </numFmts>
  <fonts count="3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Garamond"/>
      <family val="1"/>
    </font>
    <font>
      <vertAlign val="superscript"/>
      <sz val="12"/>
      <color indexed="8"/>
      <name val="Calibri"/>
      <family val="2"/>
    </font>
    <font>
      <b/>
      <sz val="12"/>
      <color indexed="81"/>
      <name val="Segoe U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21" borderId="0" applyNumberFormat="0" applyBorder="0" applyAlignment="0" applyProtection="0"/>
    <xf numFmtId="0" fontId="5" fillId="22" borderId="4" applyNumberFormat="0" applyFont="0" applyAlignment="0" applyProtection="0"/>
    <xf numFmtId="9" fontId="3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16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2" fillId="0" borderId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6">
    <xf numFmtId="0" fontId="0" fillId="0" borderId="0" xfId="0"/>
    <xf numFmtId="0" fontId="22" fillId="0" borderId="0" xfId="63" applyFont="1"/>
    <xf numFmtId="0" fontId="23" fillId="24" borderId="11" xfId="63" applyFont="1" applyFill="1" applyBorder="1"/>
    <xf numFmtId="0" fontId="22" fillId="25" borderId="0" xfId="63" applyFont="1" applyFill="1"/>
    <xf numFmtId="0" fontId="22" fillId="25" borderId="12" xfId="63" applyFont="1" applyFill="1" applyBorder="1"/>
    <xf numFmtId="0" fontId="23" fillId="25" borderId="12" xfId="63" applyFont="1" applyFill="1" applyBorder="1"/>
    <xf numFmtId="0" fontId="23" fillId="25" borderId="0" xfId="63" applyFont="1" applyFill="1"/>
    <xf numFmtId="0" fontId="23" fillId="25" borderId="13" xfId="63" applyFont="1" applyFill="1" applyBorder="1"/>
    <xf numFmtId="0" fontId="23" fillId="25" borderId="14" xfId="63" applyFont="1" applyFill="1" applyBorder="1"/>
    <xf numFmtId="0" fontId="23" fillId="25" borderId="15" xfId="63" applyFont="1" applyFill="1" applyBorder="1"/>
    <xf numFmtId="0" fontId="23" fillId="0" borderId="0" xfId="63" applyFont="1"/>
    <xf numFmtId="0" fontId="23" fillId="25" borderId="16" xfId="63" applyFont="1" applyFill="1" applyBorder="1"/>
    <xf numFmtId="0" fontId="23" fillId="25" borderId="17" xfId="63" applyFont="1" applyFill="1" applyBorder="1"/>
    <xf numFmtId="0" fontId="23" fillId="25" borderId="18" xfId="63" applyFont="1" applyFill="1" applyBorder="1"/>
    <xf numFmtId="0" fontId="23" fillId="25" borderId="19" xfId="63" applyFont="1" applyFill="1" applyBorder="1"/>
    <xf numFmtId="0" fontId="22" fillId="26" borderId="0" xfId="63" applyFont="1" applyFill="1"/>
    <xf numFmtId="166" fontId="23" fillId="26" borderId="14" xfId="63" applyNumberFormat="1" applyFont="1" applyFill="1" applyBorder="1"/>
    <xf numFmtId="166" fontId="22" fillId="26" borderId="14" xfId="63" applyNumberFormat="1" applyFont="1" applyFill="1" applyBorder="1"/>
    <xf numFmtId="166" fontId="22" fillId="26" borderId="0" xfId="63" applyNumberFormat="1" applyFont="1" applyFill="1"/>
    <xf numFmtId="166" fontId="22" fillId="26" borderId="20" xfId="63" applyNumberFormat="1" applyFont="1" applyFill="1" applyBorder="1"/>
    <xf numFmtId="166" fontId="22" fillId="26" borderId="15" xfId="63" applyNumberFormat="1" applyFont="1" applyFill="1" applyBorder="1"/>
    <xf numFmtId="0" fontId="22" fillId="26" borderId="21" xfId="63" applyFont="1" applyFill="1" applyBorder="1"/>
    <xf numFmtId="166" fontId="23" fillId="26" borderId="22" xfId="63" applyNumberFormat="1" applyFont="1" applyFill="1" applyBorder="1"/>
    <xf numFmtId="166" fontId="22" fillId="26" borderId="22" xfId="63" applyNumberFormat="1" applyFont="1" applyFill="1" applyBorder="1"/>
    <xf numFmtId="166" fontId="22" fillId="26" borderId="23" xfId="63" applyNumberFormat="1" applyFont="1" applyFill="1" applyBorder="1"/>
    <xf numFmtId="166" fontId="22" fillId="26" borderId="21" xfId="63" applyNumberFormat="1" applyFont="1" applyFill="1" applyBorder="1"/>
    <xf numFmtId="166" fontId="22" fillId="26" borderId="24" xfId="63" applyNumberFormat="1" applyFont="1" applyFill="1" applyBorder="1"/>
    <xf numFmtId="0" fontId="22" fillId="26" borderId="23" xfId="63" applyFont="1" applyFill="1" applyBorder="1"/>
    <xf numFmtId="166" fontId="22" fillId="26" borderId="17" xfId="63" applyNumberFormat="1" applyFont="1" applyFill="1" applyBorder="1"/>
    <xf numFmtId="0" fontId="22" fillId="25" borderId="21" xfId="63" applyFont="1" applyFill="1" applyBorder="1"/>
    <xf numFmtId="166" fontId="23" fillId="25" borderId="23" xfId="63" applyNumberFormat="1" applyFont="1" applyFill="1" applyBorder="1"/>
    <xf numFmtId="0" fontId="22" fillId="25" borderId="23" xfId="63" applyFont="1" applyFill="1" applyBorder="1"/>
    <xf numFmtId="166" fontId="23" fillId="25" borderId="24" xfId="63" applyNumberFormat="1" applyFont="1" applyFill="1" applyBorder="1"/>
    <xf numFmtId="166" fontId="22" fillId="25" borderId="24" xfId="63" applyNumberFormat="1" applyFont="1" applyFill="1" applyBorder="1"/>
    <xf numFmtId="166" fontId="22" fillId="25" borderId="23" xfId="63" applyNumberFormat="1" applyFont="1" applyFill="1" applyBorder="1"/>
    <xf numFmtId="166" fontId="22" fillId="25" borderId="22" xfId="63" applyNumberFormat="1" applyFont="1" applyFill="1" applyBorder="1"/>
    <xf numFmtId="167" fontId="22" fillId="0" borderId="0" xfId="63" applyNumberFormat="1" applyFont="1"/>
    <xf numFmtId="166" fontId="23" fillId="0" borderId="0" xfId="63" applyNumberFormat="1" applyFont="1"/>
    <xf numFmtId="167" fontId="22" fillId="26" borderId="24" xfId="63" applyNumberFormat="1" applyFont="1" applyFill="1" applyBorder="1"/>
    <xf numFmtId="167" fontId="22" fillId="25" borderId="23" xfId="63" applyNumberFormat="1" applyFont="1" applyFill="1" applyBorder="1"/>
    <xf numFmtId="167" fontId="22" fillId="25" borderId="22" xfId="63" applyNumberFormat="1" applyFont="1" applyFill="1" applyBorder="1"/>
    <xf numFmtId="167" fontId="22" fillId="25" borderId="24" xfId="63" applyNumberFormat="1" applyFont="1" applyFill="1" applyBorder="1"/>
    <xf numFmtId="167" fontId="22" fillId="26" borderId="22" xfId="63" applyNumberFormat="1" applyFont="1" applyFill="1" applyBorder="1"/>
    <xf numFmtId="167" fontId="22" fillId="26" borderId="15" xfId="63" applyNumberFormat="1" applyFont="1" applyFill="1" applyBorder="1"/>
    <xf numFmtId="167" fontId="22" fillId="26" borderId="10" xfId="63" applyNumberFormat="1" applyFont="1" applyFill="1" applyBorder="1"/>
    <xf numFmtId="167" fontId="22" fillId="26" borderId="25" xfId="63" applyNumberFormat="1" applyFont="1" applyFill="1" applyBorder="1"/>
    <xf numFmtId="0" fontId="22" fillId="26" borderId="26" xfId="63" applyFont="1" applyFill="1" applyBorder="1"/>
    <xf numFmtId="167" fontId="22" fillId="25" borderId="0" xfId="63" applyNumberFormat="1" applyFont="1" applyFill="1"/>
    <xf numFmtId="167" fontId="22" fillId="25" borderId="14" xfId="63" applyNumberFormat="1" applyFont="1" applyFill="1" applyBorder="1"/>
    <xf numFmtId="167" fontId="22" fillId="25" borderId="15" xfId="63" applyNumberFormat="1" applyFont="1" applyFill="1" applyBorder="1"/>
    <xf numFmtId="0" fontId="22" fillId="27" borderId="0" xfId="63" applyFont="1" applyFill="1"/>
    <xf numFmtId="168" fontId="22" fillId="27" borderId="0" xfId="63" applyNumberFormat="1" applyFont="1" applyFill="1" applyAlignment="1">
      <alignment horizontal="right" vertical="center"/>
    </xf>
    <xf numFmtId="168" fontId="22" fillId="27" borderId="0" xfId="63" applyNumberFormat="1" applyFont="1" applyFill="1" applyBorder="1" applyAlignment="1">
      <alignment horizontal="right" vertical="center"/>
    </xf>
    <xf numFmtId="168" fontId="22" fillId="28" borderId="0" xfId="63" applyNumberFormat="1" applyFont="1" applyFill="1" applyAlignment="1">
      <alignment horizontal="right" vertical="center"/>
    </xf>
    <xf numFmtId="168" fontId="22" fillId="28" borderId="15" xfId="63" applyNumberFormat="1" applyFont="1" applyFill="1" applyBorder="1" applyAlignment="1">
      <alignment horizontal="right" vertical="center"/>
    </xf>
    <xf numFmtId="0" fontId="22" fillId="27" borderId="0" xfId="63" applyFont="1" applyFill="1" applyAlignment="1">
      <alignment horizontal="right" vertical="center"/>
    </xf>
    <xf numFmtId="0" fontId="22" fillId="27" borderId="15" xfId="63" applyFont="1" applyFill="1" applyBorder="1"/>
    <xf numFmtId="10" fontId="22" fillId="27" borderId="0" xfId="63" applyNumberFormat="1" applyFont="1" applyFill="1" applyAlignment="1">
      <alignment horizontal="right" vertical="center"/>
    </xf>
    <xf numFmtId="10" fontId="22" fillId="27" borderId="15" xfId="63" applyNumberFormat="1" applyFont="1" applyFill="1" applyBorder="1" applyAlignment="1">
      <alignment horizontal="right" vertical="center"/>
    </xf>
    <xf numFmtId="0" fontId="24" fillId="0" borderId="27" xfId="63" applyFont="1" applyBorder="1" applyProtection="1">
      <protection locked="0"/>
    </xf>
    <xf numFmtId="0" fontId="24" fillId="0" borderId="28" xfId="63" applyFont="1" applyBorder="1" applyProtection="1">
      <protection locked="0"/>
    </xf>
    <xf numFmtId="0" fontId="27" fillId="0" borderId="0" xfId="0" applyFont="1"/>
    <xf numFmtId="170" fontId="22" fillId="0" borderId="0" xfId="63" applyNumberFormat="1" applyFont="1"/>
    <xf numFmtId="168" fontId="22" fillId="0" borderId="0" xfId="63" applyNumberFormat="1" applyFont="1"/>
    <xf numFmtId="0" fontId="30" fillId="29" borderId="0" xfId="63" applyFont="1" applyFill="1"/>
    <xf numFmtId="166" fontId="30" fillId="29" borderId="0" xfId="63" applyNumberFormat="1" applyFont="1" applyFill="1"/>
    <xf numFmtId="1" fontId="30" fillId="29" borderId="0" xfId="63" applyNumberFormat="1" applyFont="1" applyFill="1"/>
    <xf numFmtId="167" fontId="30" fillId="29" borderId="0" xfId="63" applyNumberFormat="1" applyFont="1" applyFill="1"/>
    <xf numFmtId="174" fontId="31" fillId="0" borderId="0" xfId="63" applyNumberFormat="1" applyFont="1"/>
    <xf numFmtId="0" fontId="31" fillId="0" borderId="0" xfId="63" applyFont="1"/>
    <xf numFmtId="0" fontId="32" fillId="24" borderId="11" xfId="63" applyFont="1" applyFill="1" applyBorder="1"/>
    <xf numFmtId="0" fontId="31" fillId="25" borderId="0" xfId="63" applyFont="1" applyFill="1"/>
    <xf numFmtId="0" fontId="31" fillId="25" borderId="12" xfId="63" applyFont="1" applyFill="1" applyBorder="1"/>
    <xf numFmtId="0" fontId="32" fillId="25" borderId="12" xfId="63" applyFont="1" applyFill="1" applyBorder="1"/>
    <xf numFmtId="0" fontId="32" fillId="25" borderId="0" xfId="63" applyFont="1" applyFill="1"/>
    <xf numFmtId="0" fontId="32" fillId="25" borderId="13" xfId="63" applyFont="1" applyFill="1" applyBorder="1"/>
    <xf numFmtId="0" fontId="32" fillId="25" borderId="20" xfId="63" applyFont="1" applyFill="1" applyBorder="1"/>
    <xf numFmtId="0" fontId="32" fillId="25" borderId="0" xfId="63" applyFont="1" applyFill="1" applyBorder="1"/>
    <xf numFmtId="0" fontId="32" fillId="25" borderId="15" xfId="63" applyFont="1" applyFill="1" applyBorder="1"/>
    <xf numFmtId="0" fontId="32" fillId="25" borderId="14" xfId="63" applyFont="1" applyFill="1" applyBorder="1"/>
    <xf numFmtId="0" fontId="31" fillId="25" borderId="14" xfId="63" applyFont="1" applyFill="1" applyBorder="1"/>
    <xf numFmtId="0" fontId="32" fillId="0" borderId="0" xfId="63" applyFont="1"/>
    <xf numFmtId="0" fontId="32" fillId="25" borderId="16" xfId="63" applyFont="1" applyFill="1" applyBorder="1"/>
    <xf numFmtId="0" fontId="32" fillId="25" borderId="17" xfId="63" applyFont="1" applyFill="1" applyBorder="1"/>
    <xf numFmtId="0" fontId="32" fillId="25" borderId="18" xfId="63" applyFont="1" applyFill="1" applyBorder="1"/>
    <xf numFmtId="0" fontId="32" fillId="25" borderId="19" xfId="63" applyFont="1" applyFill="1" applyBorder="1"/>
    <xf numFmtId="0" fontId="31" fillId="26" borderId="0" xfId="63" applyFont="1" applyFill="1"/>
    <xf numFmtId="166" fontId="32" fillId="26" borderId="14" xfId="63" applyNumberFormat="1" applyFont="1" applyFill="1" applyBorder="1"/>
    <xf numFmtId="166" fontId="31" fillId="26" borderId="14" xfId="63" applyNumberFormat="1" applyFont="1" applyFill="1" applyBorder="1"/>
    <xf numFmtId="166" fontId="31" fillId="26" borderId="0" xfId="63" applyNumberFormat="1" applyFont="1" applyFill="1"/>
    <xf numFmtId="166" fontId="31" fillId="26" borderId="20" xfId="63" applyNumberFormat="1" applyFont="1" applyFill="1" applyBorder="1"/>
    <xf numFmtId="166" fontId="31" fillId="26" borderId="15" xfId="63" applyNumberFormat="1" applyFont="1" applyFill="1" applyBorder="1"/>
    <xf numFmtId="166" fontId="31" fillId="0" borderId="0" xfId="63" applyNumberFormat="1" applyFont="1"/>
    <xf numFmtId="0" fontId="31" fillId="26" borderId="21" xfId="63" applyFont="1" applyFill="1" applyBorder="1"/>
    <xf numFmtId="166" fontId="32" fillId="26" borderId="22" xfId="63" applyNumberFormat="1" applyFont="1" applyFill="1" applyBorder="1"/>
    <xf numFmtId="166" fontId="31" fillId="26" borderId="22" xfId="63" applyNumberFormat="1" applyFont="1" applyFill="1" applyBorder="1"/>
    <xf numFmtId="166" fontId="31" fillId="26" borderId="23" xfId="63" applyNumberFormat="1" applyFont="1" applyFill="1" applyBorder="1"/>
    <xf numFmtId="166" fontId="31" fillId="26" borderId="21" xfId="63" applyNumberFormat="1" applyFont="1" applyFill="1" applyBorder="1"/>
    <xf numFmtId="166" fontId="31" fillId="26" borderId="24" xfId="63" applyNumberFormat="1" applyFont="1" applyFill="1" applyBorder="1"/>
    <xf numFmtId="0" fontId="31" fillId="26" borderId="23" xfId="63" applyFont="1" applyFill="1" applyBorder="1"/>
    <xf numFmtId="166" fontId="31" fillId="26" borderId="17" xfId="63" applyNumberFormat="1" applyFont="1" applyFill="1" applyBorder="1"/>
    <xf numFmtId="166" fontId="31" fillId="26" borderId="19" xfId="63" applyNumberFormat="1" applyFont="1" applyFill="1" applyBorder="1"/>
    <xf numFmtId="0" fontId="31" fillId="25" borderId="21" xfId="63" applyFont="1" applyFill="1" applyBorder="1"/>
    <xf numFmtId="166" fontId="32" fillId="25" borderId="23" xfId="63" applyNumberFormat="1" applyFont="1" applyFill="1" applyBorder="1"/>
    <xf numFmtId="0" fontId="31" fillId="25" borderId="23" xfId="63" applyFont="1" applyFill="1" applyBorder="1"/>
    <xf numFmtId="166" fontId="32" fillId="25" borderId="24" xfId="63" applyNumberFormat="1" applyFont="1" applyFill="1" applyBorder="1"/>
    <xf numFmtId="166" fontId="31" fillId="25" borderId="24" xfId="63" applyNumberFormat="1" applyFont="1" applyFill="1" applyBorder="1"/>
    <xf numFmtId="166" fontId="31" fillId="25" borderId="23" xfId="63" applyNumberFormat="1" applyFont="1" applyFill="1" applyBorder="1"/>
    <xf numFmtId="166" fontId="31" fillId="25" borderId="22" xfId="63" applyNumberFormat="1" applyFont="1" applyFill="1" applyBorder="1"/>
    <xf numFmtId="166" fontId="32" fillId="0" borderId="0" xfId="63" applyNumberFormat="1" applyFont="1"/>
    <xf numFmtId="167" fontId="31" fillId="26" borderId="24" xfId="63" applyNumberFormat="1" applyFont="1" applyFill="1" applyBorder="1"/>
    <xf numFmtId="167" fontId="31" fillId="26" borderId="14" xfId="63" applyNumberFormat="1" applyFont="1" applyFill="1" applyBorder="1"/>
    <xf numFmtId="167" fontId="31" fillId="26" borderId="0" xfId="63" applyNumberFormat="1" applyFont="1" applyFill="1"/>
    <xf numFmtId="167" fontId="31" fillId="26" borderId="15" xfId="63" applyNumberFormat="1" applyFont="1" applyFill="1" applyBorder="1"/>
    <xf numFmtId="167" fontId="31" fillId="25" borderId="23" xfId="63" applyNumberFormat="1" applyFont="1" applyFill="1" applyBorder="1"/>
    <xf numFmtId="167" fontId="31" fillId="25" borderId="22" xfId="63" applyNumberFormat="1" applyFont="1" applyFill="1" applyBorder="1"/>
    <xf numFmtId="167" fontId="31" fillId="25" borderId="24" xfId="63" applyNumberFormat="1" applyFont="1" applyFill="1" applyBorder="1"/>
    <xf numFmtId="167" fontId="31" fillId="26" borderId="22" xfId="63" applyNumberFormat="1" applyFont="1" applyFill="1" applyBorder="1"/>
    <xf numFmtId="166" fontId="31" fillId="26" borderId="25" xfId="63" applyNumberFormat="1" applyFont="1" applyFill="1" applyBorder="1"/>
    <xf numFmtId="167" fontId="31" fillId="26" borderId="31" xfId="63" applyNumberFormat="1" applyFont="1" applyFill="1" applyBorder="1"/>
    <xf numFmtId="167" fontId="31" fillId="26" borderId="10" xfId="63" applyNumberFormat="1" applyFont="1" applyFill="1" applyBorder="1"/>
    <xf numFmtId="167" fontId="31" fillId="26" borderId="25" xfId="63" applyNumberFormat="1" applyFont="1" applyFill="1" applyBorder="1"/>
    <xf numFmtId="0" fontId="31" fillId="26" borderId="26" xfId="63" applyFont="1" applyFill="1" applyBorder="1"/>
    <xf numFmtId="167" fontId="31" fillId="25" borderId="15" xfId="63" applyNumberFormat="1" applyFont="1" applyFill="1" applyBorder="1"/>
    <xf numFmtId="167" fontId="31" fillId="25" borderId="0" xfId="63" applyNumberFormat="1" applyFont="1" applyFill="1"/>
    <xf numFmtId="167" fontId="31" fillId="25" borderId="14" xfId="63" applyNumberFormat="1" applyFont="1" applyFill="1" applyBorder="1"/>
    <xf numFmtId="0" fontId="31" fillId="27" borderId="0" xfId="63" applyFont="1" applyFill="1"/>
    <xf numFmtId="168" fontId="31" fillId="27" borderId="0" xfId="63" applyNumberFormat="1" applyFont="1" applyFill="1" applyAlignment="1">
      <alignment horizontal="right" vertical="center"/>
    </xf>
    <xf numFmtId="168" fontId="31" fillId="27" borderId="0" xfId="63" applyNumberFormat="1" applyFont="1" applyFill="1" applyBorder="1" applyAlignment="1">
      <alignment horizontal="right" vertical="center"/>
    </xf>
    <xf numFmtId="168" fontId="31" fillId="28" borderId="0" xfId="63" applyNumberFormat="1" applyFont="1" applyFill="1" applyAlignment="1">
      <alignment horizontal="right" vertical="center"/>
    </xf>
    <xf numFmtId="168" fontId="31" fillId="28" borderId="15" xfId="63" applyNumberFormat="1" applyFont="1" applyFill="1" applyBorder="1" applyAlignment="1">
      <alignment horizontal="right" vertical="center"/>
    </xf>
    <xf numFmtId="0" fontId="31" fillId="27" borderId="0" xfId="63" applyFont="1" applyFill="1" applyAlignment="1">
      <alignment horizontal="right" vertical="center"/>
    </xf>
    <xf numFmtId="167" fontId="33" fillId="27" borderId="0" xfId="63" applyNumberFormat="1" applyFont="1" applyFill="1"/>
    <xf numFmtId="176" fontId="33" fillId="27" borderId="0" xfId="63" applyNumberFormat="1" applyFont="1" applyFill="1"/>
    <xf numFmtId="0" fontId="31" fillId="27" borderId="15" xfId="63" applyFont="1" applyFill="1" applyBorder="1"/>
    <xf numFmtId="10" fontId="31" fillId="27" borderId="0" xfId="63" applyNumberFormat="1" applyFont="1" applyFill="1" applyAlignment="1">
      <alignment horizontal="right" vertical="center"/>
    </xf>
    <xf numFmtId="10" fontId="31" fillId="27" borderId="15" xfId="63" applyNumberFormat="1" applyFont="1" applyFill="1" applyBorder="1" applyAlignment="1">
      <alignment horizontal="right" vertical="center"/>
    </xf>
    <xf numFmtId="167" fontId="31" fillId="0" borderId="0" xfId="63" applyNumberFormat="1" applyFont="1"/>
    <xf numFmtId="176" fontId="31" fillId="0" borderId="0" xfId="63" applyNumberFormat="1" applyFont="1"/>
    <xf numFmtId="8" fontId="31" fillId="0" borderId="0" xfId="63" applyNumberFormat="1" applyFont="1"/>
    <xf numFmtId="0" fontId="31" fillId="32" borderId="0" xfId="63" applyFont="1" applyFill="1"/>
    <xf numFmtId="0" fontId="32" fillId="33" borderId="0" xfId="63" applyFont="1" applyFill="1"/>
    <xf numFmtId="0" fontId="31" fillId="33" borderId="0" xfId="63" applyFont="1" applyFill="1"/>
    <xf numFmtId="176" fontId="31" fillId="33" borderId="0" xfId="63" applyNumberFormat="1" applyFont="1" applyFill="1"/>
    <xf numFmtId="10" fontId="31" fillId="33" borderId="0" xfId="52" applyNumberFormat="1" applyFont="1" applyFill="1"/>
    <xf numFmtId="0" fontId="34" fillId="25" borderId="36" xfId="63" applyFont="1" applyFill="1" applyBorder="1"/>
    <xf numFmtId="0" fontId="34" fillId="25" borderId="37" xfId="63" applyFont="1" applyFill="1" applyBorder="1"/>
    <xf numFmtId="0" fontId="34" fillId="25" borderId="38" xfId="63" applyFont="1" applyFill="1" applyBorder="1"/>
    <xf numFmtId="0" fontId="34" fillId="25" borderId="39" xfId="63" applyFont="1" applyFill="1" applyBorder="1"/>
    <xf numFmtId="0" fontId="34" fillId="25" borderId="40" xfId="63" applyFont="1" applyFill="1" applyBorder="1"/>
    <xf numFmtId="0" fontId="34" fillId="25" borderId="41" xfId="63" applyFont="1" applyFill="1" applyBorder="1"/>
    <xf numFmtId="0" fontId="34" fillId="25" borderId="42" xfId="63" applyFont="1" applyFill="1" applyBorder="1"/>
    <xf numFmtId="166" fontId="33" fillId="26" borderId="40" xfId="63" applyNumberFormat="1" applyFont="1" applyFill="1" applyBorder="1"/>
    <xf numFmtId="166" fontId="33" fillId="26" borderId="39" xfId="63" applyNumberFormat="1" applyFont="1" applyFill="1" applyBorder="1"/>
    <xf numFmtId="166" fontId="33" fillId="26" borderId="43" xfId="63" applyNumberFormat="1" applyFont="1" applyFill="1" applyBorder="1"/>
    <xf numFmtId="166" fontId="33" fillId="26" borderId="44" xfId="63" applyNumberFormat="1" applyFont="1" applyFill="1" applyBorder="1"/>
    <xf numFmtId="166" fontId="33" fillId="26" borderId="41" xfId="63" applyNumberFormat="1" applyFont="1" applyFill="1" applyBorder="1"/>
    <xf numFmtId="166" fontId="33" fillId="26" borderId="42" xfId="63" applyNumberFormat="1" applyFont="1" applyFill="1" applyBorder="1"/>
    <xf numFmtId="166" fontId="33" fillId="25" borderId="43" xfId="63" applyNumberFormat="1" applyFont="1" applyFill="1" applyBorder="1"/>
    <xf numFmtId="166" fontId="33" fillId="25" borderId="44" xfId="63" applyNumberFormat="1" applyFont="1" applyFill="1" applyBorder="1"/>
    <xf numFmtId="167" fontId="33" fillId="26" borderId="40" xfId="63" applyNumberFormat="1" applyFont="1" applyFill="1" applyBorder="1"/>
    <xf numFmtId="167" fontId="33" fillId="26" borderId="39" xfId="63" applyNumberFormat="1" applyFont="1" applyFill="1" applyBorder="1"/>
    <xf numFmtId="167" fontId="33" fillId="25" borderId="43" xfId="63" applyNumberFormat="1" applyFont="1" applyFill="1" applyBorder="1"/>
    <xf numFmtId="167" fontId="33" fillId="25" borderId="44" xfId="63" applyNumberFormat="1" applyFont="1" applyFill="1" applyBorder="1"/>
    <xf numFmtId="167" fontId="33" fillId="26" borderId="45" xfId="63" applyNumberFormat="1" applyFont="1" applyFill="1" applyBorder="1"/>
    <xf numFmtId="167" fontId="33" fillId="26" borderId="46" xfId="63" applyNumberFormat="1" applyFont="1" applyFill="1" applyBorder="1"/>
    <xf numFmtId="167" fontId="33" fillId="25" borderId="45" xfId="63" applyNumberFormat="1" applyFont="1" applyFill="1" applyBorder="1"/>
    <xf numFmtId="167" fontId="33" fillId="25" borderId="46" xfId="63" applyNumberFormat="1" applyFont="1" applyFill="1" applyBorder="1"/>
    <xf numFmtId="0" fontId="32" fillId="25" borderId="20" xfId="63" applyFont="1" applyFill="1" applyBorder="1" applyAlignment="1">
      <alignment horizontal="center"/>
    </xf>
    <xf numFmtId="0" fontId="32" fillId="25" borderId="15" xfId="63" applyFont="1" applyFill="1" applyBorder="1" applyAlignment="1">
      <alignment horizontal="center"/>
    </xf>
    <xf numFmtId="175" fontId="31" fillId="27" borderId="0" xfId="63" applyNumberFormat="1" applyFont="1" applyFill="1" applyBorder="1" applyAlignment="1">
      <alignment horizontal="center" vertical="center"/>
    </xf>
    <xf numFmtId="176" fontId="31" fillId="27" borderId="0" xfId="60" applyNumberFormat="1" applyFont="1" applyFill="1" applyAlignment="1">
      <alignment horizontal="center" vertical="center"/>
    </xf>
    <xf numFmtId="176" fontId="31" fillId="33" borderId="0" xfId="63" applyNumberFormat="1" applyFont="1" applyFill="1" applyAlignment="1">
      <alignment horizontal="center"/>
    </xf>
    <xf numFmtId="170" fontId="1" fillId="0" borderId="0" xfId="63" applyNumberFormat="1" applyFont="1" applyAlignment="1" applyProtection="1">
      <alignment horizontal="right" vertical="top"/>
      <protection locked="0"/>
    </xf>
    <xf numFmtId="49" fontId="1" fillId="0" borderId="0" xfId="63" quotePrefix="1" applyNumberFormat="1" applyFont="1" applyAlignment="1" applyProtection="1">
      <alignment horizontal="left"/>
      <protection locked="0"/>
    </xf>
    <xf numFmtId="170" fontId="1" fillId="30" borderId="29" xfId="63" quotePrefix="1" applyNumberFormat="1" applyFont="1" applyFill="1" applyBorder="1" applyAlignment="1" applyProtection="1">
      <alignment horizontal="right" vertical="top"/>
      <protection locked="0"/>
    </xf>
    <xf numFmtId="170" fontId="1" fillId="31" borderId="30" xfId="63" quotePrefix="1" applyNumberFormat="1" applyFont="1" applyFill="1" applyBorder="1" applyAlignment="1" applyProtection="1">
      <alignment horizontal="right" vertical="top"/>
      <protection locked="0"/>
    </xf>
    <xf numFmtId="170" fontId="1" fillId="28" borderId="10" xfId="63" quotePrefix="1" applyNumberFormat="1" applyFont="1" applyFill="1" applyBorder="1" applyAlignment="1" applyProtection="1">
      <alignment horizontal="right" vertical="top"/>
      <protection locked="0"/>
    </xf>
    <xf numFmtId="170" fontId="1" fillId="31" borderId="10" xfId="63" quotePrefix="1" applyNumberFormat="1" applyFont="1" applyFill="1" applyBorder="1" applyAlignment="1" applyProtection="1">
      <alignment horizontal="right" vertical="top"/>
      <protection locked="0"/>
    </xf>
    <xf numFmtId="10" fontId="35" fillId="0" borderId="0" xfId="65" quotePrefix="1" applyNumberFormat="1" applyFont="1" applyAlignment="1" applyProtection="1">
      <alignment horizontal="right" vertical="top"/>
      <protection locked="0"/>
    </xf>
    <xf numFmtId="170" fontId="35" fillId="0" borderId="0" xfId="65" quotePrefix="1" applyNumberFormat="1" applyFont="1" applyAlignment="1" applyProtection="1">
      <alignment horizontal="right" vertical="top"/>
      <protection locked="0"/>
    </xf>
    <xf numFmtId="170" fontId="35" fillId="0" borderId="0" xfId="65" applyNumberFormat="1" applyFont="1" applyAlignment="1" applyProtection="1">
      <alignment horizontal="right" vertical="top"/>
      <protection locked="0"/>
    </xf>
    <xf numFmtId="0" fontId="24" fillId="27" borderId="0" xfId="63" applyFont="1" applyFill="1" applyAlignment="1" applyProtection="1">
      <alignment wrapText="1"/>
      <protection locked="0"/>
    </xf>
    <xf numFmtId="0" fontId="24" fillId="27" borderId="0" xfId="63" applyFont="1" applyFill="1" applyAlignment="1" applyProtection="1">
      <alignment horizontal="right" vertical="top" wrapText="1"/>
      <protection locked="0"/>
    </xf>
    <xf numFmtId="0" fontId="24" fillId="0" borderId="27" xfId="63" applyFont="1" applyFill="1" applyBorder="1" applyProtection="1">
      <protection locked="0"/>
    </xf>
    <xf numFmtId="49" fontId="1" fillId="0" borderId="34" xfId="63" applyNumberFormat="1" applyFont="1" applyBorder="1" applyAlignment="1" applyProtection="1">
      <alignment horizontal="left"/>
      <protection locked="0"/>
    </xf>
    <xf numFmtId="49" fontId="1" fillId="0" borderId="0" xfId="63" applyNumberFormat="1" applyFont="1" applyAlignment="1" applyProtection="1">
      <alignment horizontal="left"/>
      <protection locked="0"/>
    </xf>
    <xf numFmtId="49" fontId="1" fillId="30" borderId="35" xfId="63" quotePrefix="1" applyNumberFormat="1" applyFont="1" applyFill="1" applyBorder="1" applyAlignment="1" applyProtection="1">
      <alignment horizontal="left"/>
      <protection locked="0"/>
    </xf>
    <xf numFmtId="49" fontId="1" fillId="30" borderId="29" xfId="63" quotePrefix="1" applyNumberFormat="1" applyFont="1" applyFill="1" applyBorder="1" applyAlignment="1" applyProtection="1">
      <alignment horizontal="left"/>
      <protection locked="0"/>
    </xf>
    <xf numFmtId="49" fontId="1" fillId="0" borderId="32" xfId="63" applyNumberFormat="1" applyFont="1" applyBorder="1" applyAlignment="1" applyProtection="1">
      <alignment horizontal="left"/>
      <protection locked="0"/>
    </xf>
    <xf numFmtId="49" fontId="1" fillId="0" borderId="33" xfId="63" applyNumberFormat="1" applyFont="1" applyBorder="1" applyAlignment="1" applyProtection="1">
      <alignment horizontal="left"/>
      <protection locked="0"/>
    </xf>
    <xf numFmtId="49" fontId="1" fillId="0" borderId="34" xfId="63" quotePrefix="1" applyNumberFormat="1" applyFont="1" applyBorder="1" applyAlignment="1" applyProtection="1">
      <alignment horizontal="left"/>
      <protection locked="0"/>
    </xf>
    <xf numFmtId="49" fontId="1" fillId="0" borderId="0" xfId="63" quotePrefix="1" applyNumberFormat="1" applyFont="1" applyAlignment="1" applyProtection="1">
      <alignment horizontal="left"/>
      <protection locked="0"/>
    </xf>
    <xf numFmtId="49" fontId="1" fillId="31" borderId="47" xfId="63" quotePrefix="1" applyNumberFormat="1" applyFont="1" applyFill="1" applyBorder="1" applyAlignment="1" applyProtection="1">
      <alignment horizontal="left"/>
      <protection locked="0"/>
    </xf>
    <xf numFmtId="49" fontId="1" fillId="31" borderId="30" xfId="63" quotePrefix="1" applyNumberFormat="1" applyFont="1" applyFill="1" applyBorder="1" applyAlignment="1" applyProtection="1">
      <alignment horizontal="left"/>
      <protection locked="0"/>
    </xf>
    <xf numFmtId="49" fontId="26" fillId="0" borderId="48" xfId="63" applyNumberFormat="1" applyFont="1" applyBorder="1" applyAlignment="1" applyProtection="1">
      <alignment horizontal="left"/>
      <protection locked="0"/>
    </xf>
    <xf numFmtId="49" fontId="26" fillId="0" borderId="49" xfId="63" applyNumberFormat="1" applyFont="1" applyBorder="1" applyAlignment="1" applyProtection="1">
      <alignment horizontal="left"/>
      <protection locked="0"/>
    </xf>
    <xf numFmtId="49" fontId="26" fillId="0" borderId="34" xfId="63" applyNumberFormat="1" applyFont="1" applyBorder="1" applyAlignment="1" applyProtection="1">
      <alignment horizontal="left"/>
      <protection locked="0"/>
    </xf>
    <xf numFmtId="49" fontId="26" fillId="0" borderId="0" xfId="63" applyNumberFormat="1" applyFont="1" applyAlignment="1" applyProtection="1">
      <alignment horizontal="left"/>
      <protection locked="0"/>
    </xf>
    <xf numFmtId="49" fontId="26" fillId="0" borderId="32" xfId="63" applyNumberFormat="1" applyFont="1" applyBorder="1" applyAlignment="1" applyProtection="1">
      <alignment horizontal="left"/>
      <protection locked="0"/>
    </xf>
    <xf numFmtId="49" fontId="26" fillId="0" borderId="33" xfId="63" applyNumberFormat="1" applyFont="1" applyBorder="1" applyAlignment="1" applyProtection="1">
      <alignment horizontal="left"/>
      <protection locked="0"/>
    </xf>
    <xf numFmtId="49" fontId="1" fillId="31" borderId="50" xfId="63" quotePrefix="1" applyNumberFormat="1" applyFont="1" applyFill="1" applyBorder="1" applyAlignment="1" applyProtection="1">
      <alignment horizontal="left"/>
      <protection locked="0"/>
    </xf>
    <xf numFmtId="49" fontId="1" fillId="31" borderId="10" xfId="63" quotePrefix="1" applyNumberFormat="1" applyFont="1" applyFill="1" applyBorder="1" applyAlignment="1" applyProtection="1">
      <alignment horizontal="left"/>
      <protection locked="0"/>
    </xf>
    <xf numFmtId="49" fontId="1" fillId="0" borderId="48" xfId="63" quotePrefix="1" applyNumberFormat="1" applyFont="1" applyBorder="1" applyAlignment="1" applyProtection="1">
      <alignment horizontal="left"/>
      <protection locked="0"/>
    </xf>
    <xf numFmtId="49" fontId="1" fillId="0" borderId="49" xfId="63" quotePrefix="1" applyNumberFormat="1" applyFont="1" applyBorder="1" applyAlignment="1" applyProtection="1">
      <alignment horizontal="left"/>
      <protection locked="0"/>
    </xf>
    <xf numFmtId="0" fontId="1" fillId="31" borderId="50" xfId="63" quotePrefix="1" applyFont="1" applyFill="1" applyBorder="1" applyAlignment="1" applyProtection="1">
      <alignment horizontal="left"/>
      <protection locked="0"/>
    </xf>
    <xf numFmtId="0" fontId="1" fillId="31" borderId="10" xfId="63" quotePrefix="1" applyFont="1" applyFill="1" applyBorder="1" applyAlignment="1" applyProtection="1">
      <alignment horizontal="left"/>
      <protection locked="0"/>
    </xf>
    <xf numFmtId="0" fontId="31" fillId="32" borderId="0" xfId="63" applyNumberFormat="1" applyFont="1" applyFill="1"/>
    <xf numFmtId="0" fontId="31" fillId="32" borderId="0" xfId="52" applyNumberFormat="1" applyFont="1" applyFill="1"/>
    <xf numFmtId="0" fontId="31" fillId="32" borderId="0" xfId="63" applyNumberFormat="1" applyFont="1" applyFill="1" applyAlignment="1">
      <alignment horizontal="center"/>
    </xf>
    <xf numFmtId="0" fontId="31" fillId="32" borderId="15" xfId="52" applyNumberFormat="1" applyFont="1" applyFill="1" applyBorder="1"/>
    <xf numFmtId="0" fontId="31" fillId="32" borderId="15" xfId="63" applyNumberFormat="1" applyFont="1" applyFill="1" applyBorder="1"/>
    <xf numFmtId="0" fontId="31" fillId="32" borderId="0" xfId="52" applyNumberFormat="1" applyFont="1" applyFill="1" applyAlignment="1">
      <alignment horizontal="center"/>
    </xf>
    <xf numFmtId="0" fontId="31" fillId="26" borderId="14" xfId="63" applyNumberFormat="1" applyFont="1" applyFill="1" applyBorder="1"/>
    <xf numFmtId="0" fontId="31" fillId="26" borderId="15" xfId="63" applyNumberFormat="1" applyFont="1" applyFill="1" applyBorder="1"/>
    <xf numFmtId="0" fontId="31" fillId="26" borderId="22" xfId="63" applyNumberFormat="1" applyFont="1" applyFill="1" applyBorder="1"/>
    <xf numFmtId="0" fontId="31" fillId="26" borderId="24" xfId="63" applyNumberFormat="1" applyFont="1" applyFill="1" applyBorder="1"/>
    <xf numFmtId="0" fontId="31" fillId="26" borderId="17" xfId="63" applyNumberFormat="1" applyFont="1" applyFill="1" applyBorder="1"/>
    <xf numFmtId="0" fontId="31" fillId="26" borderId="19" xfId="63" applyNumberFormat="1" applyFont="1" applyFill="1" applyBorder="1"/>
    <xf numFmtId="0" fontId="31" fillId="25" borderId="22" xfId="63" applyNumberFormat="1" applyFont="1" applyFill="1" applyBorder="1"/>
    <xf numFmtId="0" fontId="31" fillId="25" borderId="24" xfId="63" applyNumberFormat="1" applyFont="1" applyFill="1" applyBorder="1"/>
    <xf numFmtId="0" fontId="31" fillId="25" borderId="23" xfId="63" applyNumberFormat="1" applyFont="1" applyFill="1" applyBorder="1"/>
    <xf numFmtId="0" fontId="31" fillId="26" borderId="0" xfId="63" applyNumberFormat="1" applyFont="1" applyFill="1"/>
    <xf numFmtId="0" fontId="31" fillId="26" borderId="25" xfId="63" applyNumberFormat="1" applyFont="1" applyFill="1" applyBorder="1"/>
    <xf numFmtId="0" fontId="31" fillId="26" borderId="31" xfId="63" applyNumberFormat="1" applyFont="1" applyFill="1" applyBorder="1"/>
    <xf numFmtId="0" fontId="31" fillId="26" borderId="10" xfId="63" applyNumberFormat="1" applyFont="1" applyFill="1" applyBorder="1"/>
    <xf numFmtId="0" fontId="31" fillId="25" borderId="15" xfId="63" applyNumberFormat="1" applyFont="1" applyFill="1" applyBorder="1"/>
    <xf numFmtId="0" fontId="31" fillId="25" borderId="0" xfId="63" applyNumberFormat="1" applyFont="1" applyFill="1"/>
    <xf numFmtId="0" fontId="31" fillId="27" borderId="0" xfId="63" applyNumberFormat="1" applyFont="1" applyFill="1" applyBorder="1" applyAlignment="1">
      <alignment horizontal="center" vertical="center"/>
    </xf>
    <xf numFmtId="0" fontId="31" fillId="27" borderId="0" xfId="63" applyNumberFormat="1" applyFont="1" applyFill="1" applyBorder="1" applyAlignment="1">
      <alignment horizontal="right" vertical="center"/>
    </xf>
    <xf numFmtId="0" fontId="33" fillId="27" borderId="0" xfId="63" applyNumberFormat="1" applyFont="1" applyFill="1"/>
    <xf numFmtId="0" fontId="31" fillId="27" borderId="0" xfId="63" applyNumberFormat="1" applyFont="1" applyFill="1"/>
    <xf numFmtId="0" fontId="31" fillId="27" borderId="0" xfId="60" applyNumberFormat="1" applyFont="1" applyFill="1" applyAlignment="1">
      <alignment horizontal="center" vertical="center"/>
    </xf>
    <xf numFmtId="0" fontId="31" fillId="27" borderId="0" xfId="63" applyNumberFormat="1" applyFont="1" applyFill="1" applyAlignment="1">
      <alignment horizontal="right" vertical="center"/>
    </xf>
    <xf numFmtId="0" fontId="31" fillId="33" borderId="15" xfId="63" applyFont="1" applyFill="1" applyBorder="1"/>
    <xf numFmtId="10" fontId="31" fillId="33" borderId="15" xfId="52" applyNumberFormat="1" applyFont="1" applyFill="1" applyBorder="1"/>
  </cellXfs>
  <cellStyles count="6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" xfId="46" builtinId="25" customBuiltin="1"/>
    <cellStyle name="Erklärender Text" xfId="47" builtinId="53" customBuiltin="1"/>
    <cellStyle name="Euro" xfId="48"/>
    <cellStyle name="Gut" xfId="49" builtinId="26" customBuiltin="1"/>
    <cellStyle name="Neutral" xfId="50" builtinId="28" customBuiltin="1"/>
    <cellStyle name="Notiz" xfId="51" builtinId="10" customBuiltin="1"/>
    <cellStyle name="Prozent" xfId="52" builtinId="5"/>
    <cellStyle name="Prozent 2" xfId="65"/>
    <cellStyle name="Schlecht" xfId="53" builtinId="27" customBuiltin="1"/>
    <cellStyle name="Standard" xfId="0" builtinId="0"/>
    <cellStyle name="Standard 3" xfId="63"/>
    <cellStyle name="Überschrift" xfId="54" builtinId="15" customBuiltin="1"/>
    <cellStyle name="Überschrift 1" xfId="55" builtinId="16" customBuiltin="1"/>
    <cellStyle name="Überschrift 2" xfId="56" builtinId="17" customBuiltin="1"/>
    <cellStyle name="Überschrift 3" xfId="57" builtinId="18" customBuiltin="1"/>
    <cellStyle name="Überschrift 4" xfId="58" builtinId="19" customBuiltin="1"/>
    <cellStyle name="Verknüpfte Zelle" xfId="59" builtinId="24" customBuiltin="1"/>
    <cellStyle name="Währung" xfId="60" builtinId="4"/>
    <cellStyle name="Währung 2" xfId="64"/>
    <cellStyle name="Warnender Text" xfId="61" builtinId="11" customBuiltin="1"/>
    <cellStyle name="Zelle überprüfen" xfId="62" builtinId="23" customBuiltin="1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  <color rgb="FFFF33CC"/>
      <color rgb="FF990033"/>
      <color rgb="FF66FF33"/>
      <color rgb="FFCC9CCC"/>
      <color rgb="FFCC00FF"/>
      <color rgb="FF00FF00"/>
      <color rgb="FFCC0000"/>
      <color rgb="FF99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498476</xdr:colOff>
      <xdr:row>16</xdr:row>
      <xdr:rowOff>17993</xdr:rowOff>
    </xdr:from>
    <xdr:to>
      <xdr:col>5</xdr:col>
      <xdr:colOff>927101</xdr:colOff>
      <xdr:row>16</xdr:row>
      <xdr:rowOff>170393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 rot="5400000">
          <a:off x="5151439" y="3223155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892174</xdr:colOff>
      <xdr:row>20</xdr:row>
      <xdr:rowOff>20112</xdr:rowOff>
    </xdr:from>
    <xdr:to>
      <xdr:col>8</xdr:col>
      <xdr:colOff>1320799</xdr:colOff>
      <xdr:row>20</xdr:row>
      <xdr:rowOff>172512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5400000">
          <a:off x="8574087" y="4063474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614892</xdr:colOff>
      <xdr:row>18</xdr:row>
      <xdr:rowOff>17994</xdr:rowOff>
    </xdr:from>
    <xdr:to>
      <xdr:col>6</xdr:col>
      <xdr:colOff>1043517</xdr:colOff>
      <xdr:row>18</xdr:row>
      <xdr:rowOff>170394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 rot="5400000">
          <a:off x="6229880" y="3642256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498476</xdr:colOff>
      <xdr:row>18</xdr:row>
      <xdr:rowOff>17993</xdr:rowOff>
    </xdr:from>
    <xdr:to>
      <xdr:col>5</xdr:col>
      <xdr:colOff>927101</xdr:colOff>
      <xdr:row>18</xdr:row>
      <xdr:rowOff>170393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 rot="5400000">
          <a:off x="5008564" y="3623205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892174</xdr:colOff>
      <xdr:row>22</xdr:row>
      <xdr:rowOff>20112</xdr:rowOff>
    </xdr:from>
    <xdr:to>
      <xdr:col>8</xdr:col>
      <xdr:colOff>1320799</xdr:colOff>
      <xdr:row>22</xdr:row>
      <xdr:rowOff>172512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5400000">
          <a:off x="8431212" y="4463524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614892</xdr:colOff>
      <xdr:row>20</xdr:row>
      <xdr:rowOff>17994</xdr:rowOff>
    </xdr:from>
    <xdr:to>
      <xdr:col>6</xdr:col>
      <xdr:colOff>1043517</xdr:colOff>
      <xdr:row>20</xdr:row>
      <xdr:rowOff>170394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 rot="5400000">
          <a:off x="6087005" y="4042306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498476</xdr:colOff>
      <xdr:row>18</xdr:row>
      <xdr:rowOff>17993</xdr:rowOff>
    </xdr:from>
    <xdr:to>
      <xdr:col>5</xdr:col>
      <xdr:colOff>927101</xdr:colOff>
      <xdr:row>18</xdr:row>
      <xdr:rowOff>170393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 rot="5400000">
          <a:off x="5008564" y="3623205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614892</xdr:colOff>
      <xdr:row>20</xdr:row>
      <xdr:rowOff>17994</xdr:rowOff>
    </xdr:from>
    <xdr:to>
      <xdr:col>6</xdr:col>
      <xdr:colOff>1043517</xdr:colOff>
      <xdr:row>20</xdr:row>
      <xdr:rowOff>170394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 rot="5400000">
          <a:off x="6087005" y="4042306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498476</xdr:colOff>
      <xdr:row>18</xdr:row>
      <xdr:rowOff>17993</xdr:rowOff>
    </xdr:from>
    <xdr:to>
      <xdr:col>5</xdr:col>
      <xdr:colOff>927101</xdr:colOff>
      <xdr:row>18</xdr:row>
      <xdr:rowOff>170393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 rot="5400000">
          <a:off x="4846639" y="3623205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892174</xdr:colOff>
      <xdr:row>22</xdr:row>
      <xdr:rowOff>20112</xdr:rowOff>
    </xdr:from>
    <xdr:to>
      <xdr:col>8</xdr:col>
      <xdr:colOff>1320799</xdr:colOff>
      <xdr:row>22</xdr:row>
      <xdr:rowOff>172512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5400000">
          <a:off x="8269287" y="4463524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614892</xdr:colOff>
      <xdr:row>20</xdr:row>
      <xdr:rowOff>17994</xdr:rowOff>
    </xdr:from>
    <xdr:to>
      <xdr:col>6</xdr:col>
      <xdr:colOff>1043517</xdr:colOff>
      <xdr:row>20</xdr:row>
      <xdr:rowOff>170394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 rot="5400000">
          <a:off x="5925080" y="4042306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498476</xdr:colOff>
      <xdr:row>18</xdr:row>
      <xdr:rowOff>17993</xdr:rowOff>
    </xdr:from>
    <xdr:to>
      <xdr:col>5</xdr:col>
      <xdr:colOff>927101</xdr:colOff>
      <xdr:row>18</xdr:row>
      <xdr:rowOff>170393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 rot="5400000">
          <a:off x="4846639" y="3623205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614892</xdr:colOff>
      <xdr:row>20</xdr:row>
      <xdr:rowOff>17994</xdr:rowOff>
    </xdr:from>
    <xdr:to>
      <xdr:col>6</xdr:col>
      <xdr:colOff>1043517</xdr:colOff>
      <xdr:row>20</xdr:row>
      <xdr:rowOff>170394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 rot="5400000">
          <a:off x="5925080" y="4042306"/>
          <a:ext cx="152400" cy="428625"/>
        </a:xfrm>
        <a:custGeom>
          <a:avLst/>
          <a:gdLst>
            <a:gd name="T0" fmla="*/ 108860 w 21600"/>
            <a:gd name="T1" fmla="*/ 0 h 21600"/>
            <a:gd name="T2" fmla="*/ 65313 w 21600"/>
            <a:gd name="T3" fmla="*/ 142875 h 21600"/>
            <a:gd name="T4" fmla="*/ 0 w 21600"/>
            <a:gd name="T5" fmla="*/ 357207 h 21600"/>
            <a:gd name="T6" fmla="*/ 65313 w 21600"/>
            <a:gd name="T7" fmla="*/ 428625 h 21600"/>
            <a:gd name="T8" fmla="*/ 130627 w 21600"/>
            <a:gd name="T9" fmla="*/ 297656 h 21600"/>
            <a:gd name="T10" fmla="*/ 152400 w 21600"/>
            <a:gd name="T11" fmla="*/ 14287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0033"/>
  </sheetPr>
  <dimension ref="B1:P48"/>
  <sheetViews>
    <sheetView zoomScale="90" zoomScaleNormal="90" workbookViewId="0"/>
  </sheetViews>
  <sheetFormatPr baseColWidth="10" defaultRowHeight="15.75" x14ac:dyDescent="0.25"/>
  <cols>
    <col min="1" max="1" width="3.7109375" style="1" customWidth="1"/>
    <col min="2" max="2" width="4" style="1" bestFit="1" customWidth="1"/>
    <col min="3" max="3" width="28.140625" style="1" bestFit="1" customWidth="1"/>
    <col min="4" max="4" width="16.28515625" style="1" bestFit="1" customWidth="1"/>
    <col min="5" max="5" width="25.7109375" style="1" customWidth="1"/>
    <col min="6" max="6" width="14.42578125" style="1" bestFit="1" customWidth="1"/>
    <col min="7" max="7" width="16.28515625" style="1" bestFit="1" customWidth="1"/>
    <col min="8" max="8" width="14.7109375" style="1" bestFit="1" customWidth="1"/>
    <col min="9" max="9" width="20.42578125" style="1" bestFit="1" customWidth="1"/>
    <col min="10" max="10" width="14.42578125" style="1" bestFit="1" customWidth="1"/>
    <col min="11" max="11" width="17.140625" style="1" bestFit="1" customWidth="1"/>
    <col min="12" max="12" width="16.85546875" style="1" bestFit="1" customWidth="1"/>
    <col min="13" max="13" width="16.28515625" style="1" bestFit="1" customWidth="1"/>
    <col min="14" max="14" width="2.85546875" style="1" customWidth="1"/>
    <col min="15" max="15" width="10.7109375" style="1" hidden="1" customWidth="1"/>
    <col min="16" max="16" width="14.42578125" style="1" hidden="1" customWidth="1"/>
    <col min="17" max="16384" width="11.42578125" style="1"/>
  </cols>
  <sheetData>
    <row r="1" spans="2:16" ht="16.5" thickBot="1" x14ac:dyDescent="0.3"/>
    <row r="2" spans="2:16" ht="16.5" thickBot="1" x14ac:dyDescent="0.3">
      <c r="C2" s="2" t="s">
        <v>33</v>
      </c>
    </row>
    <row r="3" spans="2:16" x14ac:dyDescent="0.25">
      <c r="C3" s="3"/>
      <c r="D3" s="4"/>
      <c r="E3" s="3"/>
      <c r="F3" s="5" t="s">
        <v>4</v>
      </c>
      <c r="G3" s="6" t="s">
        <v>3</v>
      </c>
      <c r="H3" s="5" t="s">
        <v>2</v>
      </c>
      <c r="I3" s="7" t="s">
        <v>1</v>
      </c>
      <c r="J3" s="5" t="s">
        <v>10</v>
      </c>
      <c r="K3" s="6" t="s">
        <v>11</v>
      </c>
      <c r="L3" s="8" t="s">
        <v>12</v>
      </c>
      <c r="M3" s="9" t="s">
        <v>13</v>
      </c>
      <c r="O3" s="64"/>
      <c r="P3" s="64"/>
    </row>
    <row r="4" spans="2:16" ht="16.5" thickBot="1" x14ac:dyDescent="0.3">
      <c r="B4" s="10" t="s">
        <v>14</v>
      </c>
      <c r="C4" s="11" t="s">
        <v>15</v>
      </c>
      <c r="D4" s="12" t="s">
        <v>16</v>
      </c>
      <c r="E4" s="11" t="s">
        <v>5</v>
      </c>
      <c r="F4" s="12" t="s">
        <v>34</v>
      </c>
      <c r="G4" s="12" t="s">
        <v>35</v>
      </c>
      <c r="H4" s="12" t="s">
        <v>36</v>
      </c>
      <c r="I4" s="13" t="s">
        <v>37</v>
      </c>
      <c r="J4" s="12" t="s">
        <v>38</v>
      </c>
      <c r="K4" s="11" t="s">
        <v>39</v>
      </c>
      <c r="L4" s="12" t="s">
        <v>40</v>
      </c>
      <c r="M4" s="14" t="s">
        <v>41</v>
      </c>
      <c r="O4" s="64" t="s">
        <v>84</v>
      </c>
      <c r="P4" s="64" t="s">
        <v>85</v>
      </c>
    </row>
    <row r="5" spans="2:16" ht="16.5" thickBot="1" x14ac:dyDescent="0.3">
      <c r="B5" s="1" t="s">
        <v>17</v>
      </c>
      <c r="C5" s="15" t="s">
        <v>6</v>
      </c>
      <c r="D5" s="16">
        <v>43000</v>
      </c>
      <c r="E5" s="15" t="s">
        <v>80</v>
      </c>
      <c r="F5" s="17">
        <v>6000</v>
      </c>
      <c r="G5" s="18">
        <v>4000</v>
      </c>
      <c r="H5" s="17">
        <v>5000</v>
      </c>
      <c r="I5" s="19">
        <v>3000</v>
      </c>
      <c r="J5" s="17">
        <v>12000</v>
      </c>
      <c r="K5" s="18">
        <v>10000</v>
      </c>
      <c r="L5" s="17">
        <v>2000</v>
      </c>
      <c r="M5" s="20">
        <v>1000</v>
      </c>
      <c r="O5" s="65"/>
      <c r="P5" s="64"/>
    </row>
    <row r="6" spans="2:16" ht="16.5" thickBot="1" x14ac:dyDescent="0.3">
      <c r="B6" s="1" t="s">
        <v>18</v>
      </c>
      <c r="C6" s="21" t="s">
        <v>7</v>
      </c>
      <c r="D6" s="22">
        <v>184000</v>
      </c>
      <c r="E6" s="15" t="s">
        <v>81</v>
      </c>
      <c r="F6" s="23">
        <v>35000</v>
      </c>
      <c r="G6" s="24">
        <v>28000</v>
      </c>
      <c r="H6" s="23">
        <v>19000</v>
      </c>
      <c r="I6" s="25">
        <v>13000</v>
      </c>
      <c r="J6" s="23">
        <v>45000</v>
      </c>
      <c r="K6" s="24">
        <v>38000</v>
      </c>
      <c r="L6" s="23">
        <v>0</v>
      </c>
      <c r="M6" s="26">
        <v>6000</v>
      </c>
      <c r="O6" s="65"/>
      <c r="P6" s="64"/>
    </row>
    <row r="7" spans="2:16" ht="16.5" thickBot="1" x14ac:dyDescent="0.3">
      <c r="B7" s="1" t="s">
        <v>19</v>
      </c>
      <c r="C7" s="27" t="s">
        <v>20</v>
      </c>
      <c r="D7" s="22">
        <v>210000</v>
      </c>
      <c r="E7" s="15" t="s">
        <v>104</v>
      </c>
      <c r="F7" s="23">
        <v>32000</v>
      </c>
      <c r="G7" s="24">
        <v>17000</v>
      </c>
      <c r="H7" s="23">
        <v>25000</v>
      </c>
      <c r="I7" s="25">
        <v>8000</v>
      </c>
      <c r="J7" s="23">
        <v>36000</v>
      </c>
      <c r="K7" s="24">
        <v>31000</v>
      </c>
      <c r="L7" s="23">
        <v>46000</v>
      </c>
      <c r="M7" s="26">
        <v>15000</v>
      </c>
      <c r="O7" s="65"/>
      <c r="P7" s="64"/>
    </row>
    <row r="8" spans="2:16" ht="16.5" thickBot="1" x14ac:dyDescent="0.3">
      <c r="B8" s="1" t="s">
        <v>21</v>
      </c>
      <c r="C8" s="15" t="s">
        <v>22</v>
      </c>
      <c r="D8" s="16">
        <v>87500</v>
      </c>
      <c r="E8" s="15" t="s">
        <v>80</v>
      </c>
      <c r="F8" s="17">
        <v>14000</v>
      </c>
      <c r="G8" s="18">
        <v>14000</v>
      </c>
      <c r="H8" s="17">
        <v>7000</v>
      </c>
      <c r="I8" s="19">
        <v>14000</v>
      </c>
      <c r="J8" s="17">
        <v>17500</v>
      </c>
      <c r="K8" s="18">
        <v>14000</v>
      </c>
      <c r="L8" s="17">
        <v>3500</v>
      </c>
      <c r="M8" s="20">
        <v>3500</v>
      </c>
      <c r="O8" s="65"/>
      <c r="P8" s="64"/>
    </row>
    <row r="9" spans="2:16" ht="16.5" thickBot="1" x14ac:dyDescent="0.3">
      <c r="B9" s="1" t="s">
        <v>24</v>
      </c>
      <c r="C9" s="21" t="s">
        <v>42</v>
      </c>
      <c r="D9" s="22">
        <v>52000</v>
      </c>
      <c r="E9" s="15" t="s">
        <v>23</v>
      </c>
      <c r="F9" s="23">
        <f>$D$9/$O$9*1</f>
        <v>4000</v>
      </c>
      <c r="G9" s="23">
        <f>$D$9/$O$9*1</f>
        <v>4000</v>
      </c>
      <c r="H9" s="23">
        <f>$D$9/$O$9*2</f>
        <v>8000</v>
      </c>
      <c r="I9" s="23">
        <f>$D$9/$O$9*0</f>
        <v>0</v>
      </c>
      <c r="J9" s="23">
        <f>$D$9/$O$9*1</f>
        <v>4000</v>
      </c>
      <c r="K9" s="23">
        <f>$D$9/$O$9*1</f>
        <v>4000</v>
      </c>
      <c r="L9" s="23">
        <f>$D$9/$O$9*3</f>
        <v>12000</v>
      </c>
      <c r="M9" s="23">
        <f>$D$9/$O$9*4</f>
        <v>16000</v>
      </c>
      <c r="O9" s="66">
        <f>1+1+2+0+1+1+3+4</f>
        <v>13</v>
      </c>
      <c r="P9" s="65">
        <f>SUM(F9:M9)</f>
        <v>52000</v>
      </c>
    </row>
    <row r="10" spans="2:16" ht="16.5" thickBot="1" x14ac:dyDescent="0.3">
      <c r="B10" s="1" t="s">
        <v>25</v>
      </c>
      <c r="C10" s="15" t="s">
        <v>26</v>
      </c>
      <c r="D10" s="16">
        <v>94000</v>
      </c>
      <c r="E10" s="15" t="s">
        <v>97</v>
      </c>
      <c r="F10" s="17">
        <v>9000</v>
      </c>
      <c r="G10" s="18">
        <v>8000</v>
      </c>
      <c r="H10" s="17">
        <v>7000</v>
      </c>
      <c r="I10" s="19">
        <v>5000</v>
      </c>
      <c r="J10" s="17">
        <v>12000</v>
      </c>
      <c r="K10" s="18">
        <v>11000</v>
      </c>
      <c r="L10" s="17">
        <v>24000</v>
      </c>
      <c r="M10" s="20">
        <v>18000</v>
      </c>
      <c r="O10" s="65"/>
      <c r="P10" s="64"/>
    </row>
    <row r="11" spans="2:16" ht="16.5" thickBot="1" x14ac:dyDescent="0.3">
      <c r="B11" s="1" t="s">
        <v>27</v>
      </c>
      <c r="C11" s="21" t="s">
        <v>0</v>
      </c>
      <c r="D11" s="22">
        <v>518000</v>
      </c>
      <c r="E11" s="15" t="s">
        <v>82</v>
      </c>
      <c r="F11" s="23">
        <v>68000</v>
      </c>
      <c r="G11" s="24">
        <v>37000</v>
      </c>
      <c r="H11" s="23">
        <v>42000</v>
      </c>
      <c r="I11" s="25">
        <v>18000</v>
      </c>
      <c r="J11" s="23">
        <v>84000</v>
      </c>
      <c r="K11" s="24">
        <v>76000</v>
      </c>
      <c r="L11" s="23">
        <v>154000</v>
      </c>
      <c r="M11" s="26">
        <v>39000</v>
      </c>
      <c r="O11" s="65"/>
      <c r="P11" s="64"/>
    </row>
    <row r="12" spans="2:16" ht="16.5" thickBot="1" x14ac:dyDescent="0.3">
      <c r="B12" s="1" t="s">
        <v>28</v>
      </c>
      <c r="C12" s="27" t="s">
        <v>9</v>
      </c>
      <c r="D12" s="22">
        <v>48000</v>
      </c>
      <c r="E12" s="15" t="s">
        <v>78</v>
      </c>
      <c r="F12" s="23">
        <f>$D$12/$O$12*8</f>
        <v>3000</v>
      </c>
      <c r="G12" s="23">
        <f>$D$12/$O$12*8</f>
        <v>3000</v>
      </c>
      <c r="H12" s="23">
        <f>$D$12/$O$12*16</f>
        <v>6000</v>
      </c>
      <c r="I12" s="23">
        <f>$D$12/$O$12*16</f>
        <v>6000</v>
      </c>
      <c r="J12" s="23">
        <f>$D$12/$O$12*16</f>
        <v>6000</v>
      </c>
      <c r="K12" s="23">
        <f>$D$12/$O$12*16</f>
        <v>6000</v>
      </c>
      <c r="L12" s="23">
        <f>$D$12/$O$12*32</f>
        <v>12000</v>
      </c>
      <c r="M12" s="23">
        <f>$D$12/$O$12*16</f>
        <v>6000</v>
      </c>
      <c r="O12" s="66">
        <f>8+8+16+16+16+16+32+16</f>
        <v>128</v>
      </c>
      <c r="P12" s="65">
        <f>SUM(F12:M12)</f>
        <v>48000</v>
      </c>
    </row>
    <row r="13" spans="2:16" ht="18.75" thickBot="1" x14ac:dyDescent="0.3">
      <c r="B13" s="1" t="s">
        <v>29</v>
      </c>
      <c r="C13" s="27" t="s">
        <v>43</v>
      </c>
      <c r="D13" s="22">
        <v>28000</v>
      </c>
      <c r="E13" s="15" t="s">
        <v>79</v>
      </c>
      <c r="F13" s="23">
        <f>$D$13/$O$13*140</f>
        <v>2000</v>
      </c>
      <c r="G13" s="23">
        <f>$D$13/$O$13*280</f>
        <v>4000</v>
      </c>
      <c r="H13" s="23">
        <f>$D$13/$O$13*140</f>
        <v>2000</v>
      </c>
      <c r="I13" s="23">
        <f>$D$13/$O$13*140</f>
        <v>2000</v>
      </c>
      <c r="J13" s="23">
        <f>$D$13/$O$13*420</f>
        <v>6000</v>
      </c>
      <c r="K13" s="23">
        <f>$D$13/$O$13*420</f>
        <v>6000</v>
      </c>
      <c r="L13" s="23">
        <f>$D$13/$O$13*280</f>
        <v>4000</v>
      </c>
      <c r="M13" s="23">
        <f>$D$13/$O$13*140</f>
        <v>2000</v>
      </c>
      <c r="O13" s="66">
        <f>140+280+140+140+420+420+280+140</f>
        <v>1960</v>
      </c>
      <c r="P13" s="65">
        <f>SUM(F13:M13)</f>
        <v>28000</v>
      </c>
    </row>
    <row r="14" spans="2:16" ht="16.5" thickBot="1" x14ac:dyDescent="0.3">
      <c r="B14" s="1" t="s">
        <v>44</v>
      </c>
      <c r="C14" s="27" t="s">
        <v>45</v>
      </c>
      <c r="D14" s="22">
        <v>165000</v>
      </c>
      <c r="E14" s="15" t="s">
        <v>77</v>
      </c>
      <c r="F14" s="23">
        <f>$D$14/$O$14*300</f>
        <v>33000</v>
      </c>
      <c r="G14" s="23">
        <f>$D$14/$O$14*200</f>
        <v>22000</v>
      </c>
      <c r="H14" s="23">
        <f>$D$14/$O$14*100</f>
        <v>11000</v>
      </c>
      <c r="I14" s="42">
        <f>$D$14/$O$14*100</f>
        <v>11000</v>
      </c>
      <c r="J14" s="23">
        <f>$D$14/$O$14*300</f>
        <v>33000</v>
      </c>
      <c r="K14" s="23">
        <f>$D$14/$O$14*300</f>
        <v>33000</v>
      </c>
      <c r="L14" s="23">
        <f>$D$14/$O$14*100</f>
        <v>11000</v>
      </c>
      <c r="M14" s="23">
        <f>$D$14/$O$14*100</f>
        <v>11000</v>
      </c>
      <c r="O14" s="66">
        <f>300+200+100+100+300+300+100+100</f>
        <v>1500</v>
      </c>
      <c r="P14" s="65">
        <f>SUM(F14:M14)</f>
        <v>165000</v>
      </c>
    </row>
    <row r="15" spans="2:16" ht="16.5" thickBot="1" x14ac:dyDescent="0.3">
      <c r="B15" s="1" t="s">
        <v>46</v>
      </c>
      <c r="C15" s="15" t="s">
        <v>8</v>
      </c>
      <c r="D15" s="16">
        <v>116000</v>
      </c>
      <c r="E15" s="15" t="s">
        <v>83</v>
      </c>
      <c r="F15" s="28">
        <v>34000</v>
      </c>
      <c r="G15" s="28">
        <v>12000</v>
      </c>
      <c r="H15" s="28">
        <v>2000</v>
      </c>
      <c r="I15" s="28">
        <v>8000</v>
      </c>
      <c r="J15" s="28">
        <v>27000</v>
      </c>
      <c r="K15" s="28">
        <v>25000</v>
      </c>
      <c r="L15" s="28">
        <v>6000</v>
      </c>
      <c r="M15" s="28">
        <v>2000</v>
      </c>
      <c r="O15" s="65"/>
      <c r="P15" s="64"/>
    </row>
    <row r="16" spans="2:16" ht="16.5" thickBot="1" x14ac:dyDescent="0.3">
      <c r="C16" s="29" t="s">
        <v>32</v>
      </c>
      <c r="D16" s="30">
        <f>SUM(D5:D15)</f>
        <v>1545500</v>
      </c>
      <c r="E16" s="31"/>
      <c r="F16" s="32">
        <f t="shared" ref="F16:M16" si="0">SUM(F5:F15)</f>
        <v>240000</v>
      </c>
      <c r="G16" s="33">
        <f t="shared" si="0"/>
        <v>153000</v>
      </c>
      <c r="H16" s="34">
        <f t="shared" si="0"/>
        <v>134000</v>
      </c>
      <c r="I16" s="35">
        <f t="shared" si="0"/>
        <v>88000</v>
      </c>
      <c r="J16" s="34">
        <f t="shared" si="0"/>
        <v>282500</v>
      </c>
      <c r="K16" s="35">
        <f t="shared" si="0"/>
        <v>254000</v>
      </c>
      <c r="L16" s="35">
        <f t="shared" si="0"/>
        <v>274500</v>
      </c>
      <c r="M16" s="33">
        <f t="shared" si="0"/>
        <v>119500</v>
      </c>
      <c r="O16" s="65"/>
      <c r="P16" s="67"/>
    </row>
    <row r="17" spans="2:16" ht="16.5" thickBot="1" x14ac:dyDescent="0.3">
      <c r="F17" s="37" t="s">
        <v>47</v>
      </c>
      <c r="G17" s="38">
        <f>$F$16/20*1</f>
        <v>12000</v>
      </c>
      <c r="H17" s="38">
        <f t="shared" ref="H17:M17" si="1">$F$16/20*1</f>
        <v>12000</v>
      </c>
      <c r="I17" s="38">
        <f>$F$16/20*3</f>
        <v>36000</v>
      </c>
      <c r="J17" s="38">
        <f>$F$16/20*6</f>
        <v>72000</v>
      </c>
      <c r="K17" s="38">
        <f>$F$16/20*5</f>
        <v>60000</v>
      </c>
      <c r="L17" s="38">
        <f>$F$16/20*3</f>
        <v>36000</v>
      </c>
      <c r="M17" s="38">
        <f t="shared" si="1"/>
        <v>12000</v>
      </c>
      <c r="O17" s="64"/>
      <c r="P17" s="64"/>
    </row>
    <row r="18" spans="2:16" ht="16.5" thickBot="1" x14ac:dyDescent="0.3">
      <c r="C18" s="29" t="s">
        <v>32</v>
      </c>
      <c r="D18" s="31"/>
      <c r="E18" s="31"/>
      <c r="F18" s="31"/>
      <c r="G18" s="33">
        <f t="shared" ref="G18:M18" si="2">SUM(G16:G17)</f>
        <v>165000</v>
      </c>
      <c r="H18" s="39">
        <f t="shared" si="2"/>
        <v>146000</v>
      </c>
      <c r="I18" s="40">
        <f t="shared" si="2"/>
        <v>124000</v>
      </c>
      <c r="J18" s="39">
        <f t="shared" si="2"/>
        <v>354500</v>
      </c>
      <c r="K18" s="40">
        <f t="shared" si="2"/>
        <v>314000</v>
      </c>
      <c r="L18" s="40">
        <f t="shared" si="2"/>
        <v>310500</v>
      </c>
      <c r="M18" s="41">
        <f t="shared" si="2"/>
        <v>131500</v>
      </c>
      <c r="O18" s="64"/>
      <c r="P18" s="64"/>
    </row>
    <row r="19" spans="2:16" ht="16.5" thickBot="1" x14ac:dyDescent="0.3">
      <c r="G19" s="37" t="s">
        <v>47</v>
      </c>
      <c r="H19" s="38">
        <f>$G$18/22*4</f>
        <v>30000</v>
      </c>
      <c r="I19" s="42">
        <f>$G$18/22*2</f>
        <v>15000</v>
      </c>
      <c r="J19" s="42">
        <f>$G$18/22*3</f>
        <v>22500</v>
      </c>
      <c r="K19" s="42">
        <f>$G$18/22*2</f>
        <v>15000</v>
      </c>
      <c r="L19" s="42">
        <f>$G$18/22*5</f>
        <v>37500</v>
      </c>
      <c r="M19" s="43">
        <f>$G$18/22*6</f>
        <v>45000</v>
      </c>
      <c r="O19" s="64"/>
      <c r="P19" s="64"/>
    </row>
    <row r="20" spans="2:16" ht="16.5" thickBot="1" x14ac:dyDescent="0.3">
      <c r="C20" s="29" t="s">
        <v>32</v>
      </c>
      <c r="D20" s="31"/>
      <c r="E20" s="31"/>
      <c r="F20" s="31"/>
      <c r="G20" s="31"/>
      <c r="H20" s="39">
        <f t="shared" ref="H20:M20" si="3">SUM(H18:H19)</f>
        <v>176000</v>
      </c>
      <c r="I20" s="40">
        <f t="shared" si="3"/>
        <v>139000</v>
      </c>
      <c r="J20" s="39">
        <f t="shared" si="3"/>
        <v>377000</v>
      </c>
      <c r="K20" s="40">
        <f t="shared" si="3"/>
        <v>329000</v>
      </c>
      <c r="L20" s="40">
        <f t="shared" si="3"/>
        <v>348000</v>
      </c>
      <c r="M20" s="41">
        <f t="shared" si="3"/>
        <v>176500</v>
      </c>
      <c r="O20" s="64"/>
      <c r="P20" s="64"/>
    </row>
    <row r="21" spans="2:16" ht="16.5" thickBot="1" x14ac:dyDescent="0.3">
      <c r="I21" s="37" t="s">
        <v>47</v>
      </c>
      <c r="J21" s="44">
        <f>I20/5*3</f>
        <v>83400</v>
      </c>
      <c r="K21" s="45">
        <f>I20/5*2</f>
        <v>55600</v>
      </c>
      <c r="L21" s="46"/>
      <c r="M21" s="43"/>
      <c r="O21" s="64"/>
      <c r="P21" s="64"/>
    </row>
    <row r="22" spans="2:16" x14ac:dyDescent="0.25">
      <c r="J22" s="47">
        <f>SUM(J20:J21)</f>
        <v>460400</v>
      </c>
      <c r="K22" s="48">
        <f>SUM(K20:K21)</f>
        <v>384600</v>
      </c>
      <c r="L22" s="49"/>
      <c r="M22" s="49"/>
      <c r="O22" s="64"/>
      <c r="P22" s="64"/>
    </row>
    <row r="23" spans="2:16" x14ac:dyDescent="0.25">
      <c r="C23" s="50" t="s">
        <v>30</v>
      </c>
      <c r="D23" s="51"/>
      <c r="E23" s="51"/>
      <c r="F23" s="51"/>
      <c r="G23" s="51"/>
      <c r="H23" s="51">
        <v>1100000</v>
      </c>
      <c r="I23" s="51"/>
      <c r="J23" s="52">
        <v>18000</v>
      </c>
      <c r="K23" s="52">
        <v>200000</v>
      </c>
      <c r="L23" s="53">
        <f>E45</f>
        <v>2183000</v>
      </c>
      <c r="M23" s="54">
        <f>E45</f>
        <v>2183000</v>
      </c>
      <c r="O23" s="64"/>
      <c r="P23" s="64"/>
    </row>
    <row r="24" spans="2:16" x14ac:dyDescent="0.25">
      <c r="C24" s="50"/>
      <c r="D24" s="55"/>
      <c r="E24" s="55"/>
      <c r="F24" s="55"/>
      <c r="G24" s="55"/>
      <c r="H24" s="50"/>
      <c r="I24" s="55"/>
      <c r="J24" s="50"/>
      <c r="K24" s="50"/>
      <c r="L24" s="50"/>
      <c r="M24" s="56"/>
      <c r="O24" s="64"/>
      <c r="P24" s="64"/>
    </row>
    <row r="25" spans="2:16" x14ac:dyDescent="0.25">
      <c r="C25" s="50" t="s">
        <v>31</v>
      </c>
      <c r="D25" s="50"/>
      <c r="E25" s="50"/>
      <c r="F25" s="50"/>
      <c r="G25" s="50"/>
      <c r="H25" s="57">
        <f>H20/H23</f>
        <v>0.16</v>
      </c>
      <c r="I25" s="50"/>
      <c r="J25" s="57">
        <f>J22/J23</f>
        <v>25.577777777777779</v>
      </c>
      <c r="K25" s="57">
        <f>K22/K23</f>
        <v>1.923</v>
      </c>
      <c r="L25" s="57">
        <f>L20/L23</f>
        <v>0.15941365093907467</v>
      </c>
      <c r="M25" s="58">
        <f>M20/M23</f>
        <v>8.0852038479157118E-2</v>
      </c>
      <c r="O25" s="64"/>
      <c r="P25" s="64"/>
    </row>
    <row r="26" spans="2:16" x14ac:dyDescent="0.25">
      <c r="G26" s="36"/>
    </row>
    <row r="29" spans="2:16" x14ac:dyDescent="0.25">
      <c r="B29" s="184" t="s">
        <v>48</v>
      </c>
      <c r="C29" s="182" t="s">
        <v>49</v>
      </c>
      <c r="D29" s="183"/>
      <c r="E29" s="183"/>
    </row>
    <row r="30" spans="2:16" x14ac:dyDescent="0.25">
      <c r="B30" s="59" t="s">
        <v>17</v>
      </c>
      <c r="C30" s="185" t="s">
        <v>50</v>
      </c>
      <c r="D30" s="186"/>
      <c r="E30" s="173">
        <f>H23</f>
        <v>1100000</v>
      </c>
    </row>
    <row r="31" spans="2:16" x14ac:dyDescent="0.25">
      <c r="B31" s="59" t="s">
        <v>18</v>
      </c>
      <c r="C31" s="174" t="s">
        <v>100</v>
      </c>
      <c r="D31" s="179"/>
      <c r="E31" s="180">
        <f>E30*H25</f>
        <v>176000</v>
      </c>
    </row>
    <row r="32" spans="2:16" x14ac:dyDescent="0.25">
      <c r="B32" s="60" t="s">
        <v>19</v>
      </c>
      <c r="C32" s="187" t="s">
        <v>51</v>
      </c>
      <c r="D32" s="188"/>
      <c r="E32" s="175">
        <f>SUM(E30:E31)</f>
        <v>1276000</v>
      </c>
    </row>
    <row r="33" spans="2:9" x14ac:dyDescent="0.25">
      <c r="B33" s="59" t="s">
        <v>21</v>
      </c>
      <c r="C33" s="189" t="s">
        <v>52</v>
      </c>
      <c r="D33" s="190"/>
      <c r="E33" s="173">
        <f>J23</f>
        <v>18000</v>
      </c>
    </row>
    <row r="34" spans="2:9" x14ac:dyDescent="0.25">
      <c r="B34" s="59" t="s">
        <v>24</v>
      </c>
      <c r="C34" s="191" t="s">
        <v>101</v>
      </c>
      <c r="D34" s="192"/>
      <c r="E34" s="181">
        <f>E33*J25</f>
        <v>460400</v>
      </c>
    </row>
    <row r="35" spans="2:9" x14ac:dyDescent="0.25">
      <c r="B35" s="60" t="s">
        <v>25</v>
      </c>
      <c r="C35" s="187" t="s">
        <v>53</v>
      </c>
      <c r="D35" s="188"/>
      <c r="E35" s="175">
        <f>SUM(E33:E34)</f>
        <v>478400</v>
      </c>
    </row>
    <row r="36" spans="2:9" x14ac:dyDescent="0.25">
      <c r="B36" s="59" t="s">
        <v>27</v>
      </c>
      <c r="C36" s="189" t="s">
        <v>52</v>
      </c>
      <c r="D36" s="190"/>
      <c r="E36" s="173">
        <f>K23</f>
        <v>200000</v>
      </c>
    </row>
    <row r="37" spans="2:9" x14ac:dyDescent="0.25">
      <c r="B37" s="59" t="s">
        <v>28</v>
      </c>
      <c r="C37" s="191" t="s">
        <v>101</v>
      </c>
      <c r="D37" s="192"/>
      <c r="E37" s="181">
        <f>E36*K25</f>
        <v>384600</v>
      </c>
    </row>
    <row r="38" spans="2:9" x14ac:dyDescent="0.25">
      <c r="B38" s="60" t="s">
        <v>29</v>
      </c>
      <c r="C38" s="187" t="s">
        <v>54</v>
      </c>
      <c r="D38" s="188"/>
      <c r="E38" s="175">
        <f>SUM(E36:E37)</f>
        <v>584600</v>
      </c>
    </row>
    <row r="39" spans="2:9" ht="16.5" thickBot="1" x14ac:dyDescent="0.3">
      <c r="B39" s="59" t="s">
        <v>44</v>
      </c>
      <c r="C39" s="193" t="s">
        <v>98</v>
      </c>
      <c r="D39" s="194"/>
      <c r="E39" s="176">
        <f>E32+E35+E38</f>
        <v>2339000</v>
      </c>
    </row>
    <row r="40" spans="2:9" x14ac:dyDescent="0.25">
      <c r="B40" s="59" t="s">
        <v>46</v>
      </c>
      <c r="C40" s="195" t="s">
        <v>55</v>
      </c>
      <c r="D40" s="196"/>
      <c r="E40" s="173">
        <v>0</v>
      </c>
      <c r="G40" s="62"/>
    </row>
    <row r="41" spans="2:9" x14ac:dyDescent="0.25">
      <c r="B41" s="60" t="s">
        <v>56</v>
      </c>
      <c r="C41" s="197" t="s">
        <v>57</v>
      </c>
      <c r="D41" s="198"/>
      <c r="E41" s="173">
        <v>0</v>
      </c>
      <c r="G41" s="62"/>
    </row>
    <row r="42" spans="2:9" x14ac:dyDescent="0.25">
      <c r="B42" s="59" t="s">
        <v>58</v>
      </c>
      <c r="C42" s="187" t="s">
        <v>59</v>
      </c>
      <c r="D42" s="188"/>
      <c r="E42" s="175">
        <f>SUM(E40:E41)</f>
        <v>0</v>
      </c>
    </row>
    <row r="43" spans="2:9" x14ac:dyDescent="0.25">
      <c r="B43" s="59" t="s">
        <v>60</v>
      </c>
      <c r="C43" s="199" t="s">
        <v>61</v>
      </c>
      <c r="D43" s="200"/>
      <c r="E43" s="173">
        <v>100000</v>
      </c>
      <c r="G43" s="62"/>
    </row>
    <row r="44" spans="2:9" x14ac:dyDescent="0.25">
      <c r="B44" s="60" t="s">
        <v>62</v>
      </c>
      <c r="C44" s="197" t="s">
        <v>63</v>
      </c>
      <c r="D44" s="198"/>
      <c r="E44" s="173">
        <v>-256000</v>
      </c>
      <c r="G44" s="62"/>
      <c r="I44" s="63"/>
    </row>
    <row r="45" spans="2:9" ht="16.5" thickBot="1" x14ac:dyDescent="0.3">
      <c r="B45" s="59" t="s">
        <v>64</v>
      </c>
      <c r="C45" s="201" t="s">
        <v>99</v>
      </c>
      <c r="D45" s="202"/>
      <c r="E45" s="177">
        <f>E39+E42+E43+E44</f>
        <v>2183000</v>
      </c>
    </row>
    <row r="46" spans="2:9" x14ac:dyDescent="0.25">
      <c r="B46" s="59" t="s">
        <v>65</v>
      </c>
      <c r="C46" s="203" t="s">
        <v>102</v>
      </c>
      <c r="D46" s="204"/>
      <c r="E46" s="180">
        <f>E45*L25</f>
        <v>348000</v>
      </c>
    </row>
    <row r="47" spans="2:9" x14ac:dyDescent="0.25">
      <c r="B47" s="60" t="s">
        <v>66</v>
      </c>
      <c r="C47" s="191" t="s">
        <v>103</v>
      </c>
      <c r="D47" s="192"/>
      <c r="E47" s="181">
        <f>E45*M25</f>
        <v>176500</v>
      </c>
    </row>
    <row r="48" spans="2:9" ht="16.5" thickBot="1" x14ac:dyDescent="0.3">
      <c r="B48" s="59" t="s">
        <v>67</v>
      </c>
      <c r="C48" s="205" t="s">
        <v>68</v>
      </c>
      <c r="D48" s="206"/>
      <c r="E48" s="178">
        <f>SUM(E45:E47)</f>
        <v>2707500</v>
      </c>
    </row>
  </sheetData>
  <mergeCells count="18"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0:D30"/>
    <mergeCell ref="C32:D32"/>
    <mergeCell ref="C33:D33"/>
    <mergeCell ref="C34:D34"/>
    <mergeCell ref="C35:D35"/>
    <mergeCell ref="C36:D36"/>
  </mergeCells>
  <pageMargins left="0.7" right="0.7" top="0.78740157499999996" bottom="0.78740157499999996" header="0.3" footer="0.3"/>
  <pageSetup paperSize="9" orientation="portrait" horizontalDpi="300" verticalDpi="300" r:id="rId1"/>
  <ignoredErrors>
    <ignoredError sqref="E30 E31:E4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"/>
  <sheetViews>
    <sheetView workbookViewId="0"/>
  </sheetViews>
  <sheetFormatPr baseColWidth="10" defaultRowHeight="15.75" x14ac:dyDescent="0.25"/>
  <cols>
    <col min="1" max="16384" width="11.42578125" style="61"/>
  </cols>
  <sheetData/>
  <phoneticPr fontId="4" type="noConversion"/>
  <pageMargins left="0.7" right="0.7" top="0.78740157499999996" bottom="0.78740157499999996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"/>
  <sheetViews>
    <sheetView workbookViewId="0"/>
  </sheetViews>
  <sheetFormatPr baseColWidth="10" defaultRowHeight="12.75" x14ac:dyDescent="0.2"/>
  <cols>
    <col min="8" max="8" width="13.28515625" bestFit="1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B1:R28"/>
  <sheetViews>
    <sheetView zoomScale="90" zoomScaleNormal="90" workbookViewId="0"/>
  </sheetViews>
  <sheetFormatPr baseColWidth="10" defaultRowHeight="15.75" x14ac:dyDescent="0.25"/>
  <cols>
    <col min="1" max="1" width="3.5703125" style="69" customWidth="1"/>
    <col min="2" max="2" width="4" style="69" bestFit="1" customWidth="1"/>
    <col min="3" max="3" width="28.140625" style="69" bestFit="1" customWidth="1"/>
    <col min="4" max="4" width="16.28515625" style="69" bestFit="1" customWidth="1"/>
    <col min="5" max="5" width="28.85546875" style="69" bestFit="1" customWidth="1"/>
    <col min="6" max="6" width="14.42578125" style="69" bestFit="1" customWidth="1"/>
    <col min="7" max="7" width="16.28515625" style="69" bestFit="1" customWidth="1"/>
    <col min="8" max="8" width="14.7109375" style="69" bestFit="1" customWidth="1"/>
    <col min="9" max="9" width="19" style="69" customWidth="1"/>
    <col min="10" max="10" width="15.28515625" style="69" bestFit="1" customWidth="1"/>
    <col min="11" max="12" width="14.42578125" style="69" customWidth="1"/>
    <col min="13" max="13" width="17.140625" style="69" bestFit="1" customWidth="1"/>
    <col min="14" max="14" width="16.85546875" style="69" bestFit="1" customWidth="1"/>
    <col min="15" max="15" width="16.28515625" style="69" bestFit="1" customWidth="1"/>
    <col min="16" max="16" width="3.28515625" style="69" customWidth="1"/>
    <col min="17" max="17" width="14.42578125" style="69" bestFit="1" customWidth="1"/>
    <col min="18" max="18" width="31.85546875" style="69" bestFit="1" customWidth="1"/>
    <col min="19" max="16384" width="11.42578125" style="69"/>
  </cols>
  <sheetData>
    <row r="1" spans="2:18" ht="16.5" thickBot="1" x14ac:dyDescent="0.3">
      <c r="B1" s="68"/>
    </row>
    <row r="2" spans="2:18" ht="16.5" thickBot="1" x14ac:dyDescent="0.3">
      <c r="C2" s="70" t="str">
        <f>'BAB November'!$C$2</f>
        <v>BAB Monat November 20xx</v>
      </c>
    </row>
    <row r="3" spans="2:18" x14ac:dyDescent="0.25">
      <c r="C3" s="71"/>
      <c r="D3" s="72"/>
      <c r="E3" s="71"/>
      <c r="F3" s="73" t="s">
        <v>4</v>
      </c>
      <c r="G3" s="74" t="s">
        <v>3</v>
      </c>
      <c r="H3" s="73" t="s">
        <v>2</v>
      </c>
      <c r="I3" s="75" t="s">
        <v>1</v>
      </c>
      <c r="J3" s="76" t="s">
        <v>10</v>
      </c>
      <c r="K3" s="77"/>
      <c r="L3" s="78"/>
      <c r="M3" s="74" t="s">
        <v>11</v>
      </c>
      <c r="N3" s="79" t="s">
        <v>12</v>
      </c>
      <c r="O3" s="78" t="s">
        <v>13</v>
      </c>
      <c r="Q3" s="145" t="s">
        <v>10</v>
      </c>
      <c r="R3" s="146"/>
    </row>
    <row r="4" spans="2:18" x14ac:dyDescent="0.25">
      <c r="C4" s="71"/>
      <c r="D4" s="80"/>
      <c r="E4" s="71"/>
      <c r="F4" s="79" t="s">
        <v>34</v>
      </c>
      <c r="G4" s="74" t="s">
        <v>35</v>
      </c>
      <c r="H4" s="79" t="s">
        <v>36</v>
      </c>
      <c r="I4" s="76" t="s">
        <v>37</v>
      </c>
      <c r="J4" s="76" t="s">
        <v>38</v>
      </c>
      <c r="K4" s="77"/>
      <c r="L4" s="78"/>
      <c r="M4" s="74" t="s">
        <v>39</v>
      </c>
      <c r="N4" s="79" t="s">
        <v>40</v>
      </c>
      <c r="O4" s="78" t="s">
        <v>41</v>
      </c>
      <c r="Q4" s="147" t="s">
        <v>38</v>
      </c>
      <c r="R4" s="148"/>
    </row>
    <row r="5" spans="2:18" x14ac:dyDescent="0.25">
      <c r="C5" s="71"/>
      <c r="D5" s="80"/>
      <c r="E5" s="71"/>
      <c r="F5" s="79"/>
      <c r="G5" s="74"/>
      <c r="H5" s="79"/>
      <c r="I5" s="76"/>
      <c r="J5" s="168"/>
      <c r="K5" s="169"/>
      <c r="L5" s="78"/>
      <c r="M5" s="74"/>
      <c r="N5" s="79"/>
      <c r="O5" s="78"/>
      <c r="Q5" s="149"/>
      <c r="R5" s="148" t="s">
        <v>73</v>
      </c>
    </row>
    <row r="6" spans="2:18" ht="16.5" thickBot="1" x14ac:dyDescent="0.3">
      <c r="B6" s="81" t="s">
        <v>14</v>
      </c>
      <c r="C6" s="82" t="s">
        <v>15</v>
      </c>
      <c r="D6" s="83" t="s">
        <v>16</v>
      </c>
      <c r="E6" s="82" t="s">
        <v>5</v>
      </c>
      <c r="F6" s="83"/>
      <c r="G6" s="83"/>
      <c r="H6" s="83"/>
      <c r="I6" s="84"/>
      <c r="J6" s="83"/>
      <c r="K6" s="83"/>
      <c r="L6" s="85"/>
      <c r="M6" s="82"/>
      <c r="N6" s="83"/>
      <c r="O6" s="85"/>
      <c r="Q6" s="150"/>
      <c r="R6" s="151"/>
    </row>
    <row r="7" spans="2:18" ht="16.5" thickBot="1" x14ac:dyDescent="0.3">
      <c r="B7" s="69" t="s">
        <v>17</v>
      </c>
      <c r="C7" s="86" t="s">
        <v>6</v>
      </c>
      <c r="D7" s="87">
        <f>'BAB November'!D5</f>
        <v>43000</v>
      </c>
      <c r="E7" s="86" t="str">
        <f>'BAB November'!E5</f>
        <v>Rechnungen (direkt</v>
      </c>
      <c r="F7" s="88">
        <f>'BAB November'!F5</f>
        <v>6000</v>
      </c>
      <c r="G7" s="89">
        <f>'BAB November'!G5</f>
        <v>4000</v>
      </c>
      <c r="H7" s="88">
        <f>'BAB November'!H5</f>
        <v>5000</v>
      </c>
      <c r="I7" s="90">
        <f>'BAB November'!I5</f>
        <v>3000</v>
      </c>
      <c r="J7" s="88"/>
      <c r="K7" s="88"/>
      <c r="L7" s="91"/>
      <c r="M7" s="89">
        <f>'BAB November'!K5</f>
        <v>10000</v>
      </c>
      <c r="N7" s="88">
        <f>'BAB November'!L5</f>
        <v>2000</v>
      </c>
      <c r="O7" s="91">
        <f>'BAB November'!M5</f>
        <v>1000</v>
      </c>
      <c r="P7" s="92"/>
      <c r="Q7" s="152">
        <f>'BAB November'!J5</f>
        <v>12000</v>
      </c>
      <c r="R7" s="153" t="s">
        <v>69</v>
      </c>
    </row>
    <row r="8" spans="2:18" ht="16.5" thickBot="1" x14ac:dyDescent="0.3">
      <c r="B8" s="69" t="s">
        <v>18</v>
      </c>
      <c r="C8" s="93" t="s">
        <v>7</v>
      </c>
      <c r="D8" s="94">
        <f>'BAB November'!D6</f>
        <v>184000</v>
      </c>
      <c r="E8" s="86" t="str">
        <f>'BAB November'!E6</f>
        <v>Lohnlisten (direkt)</v>
      </c>
      <c r="F8" s="95">
        <f>'BAB November'!F6</f>
        <v>35000</v>
      </c>
      <c r="G8" s="96">
        <f>'BAB November'!G6</f>
        <v>28000</v>
      </c>
      <c r="H8" s="95">
        <f>'BAB November'!H6</f>
        <v>19000</v>
      </c>
      <c r="I8" s="97">
        <f>'BAB November'!I6</f>
        <v>13000</v>
      </c>
      <c r="J8" s="95"/>
      <c r="K8" s="95"/>
      <c r="L8" s="98"/>
      <c r="M8" s="96">
        <f>'BAB November'!K6</f>
        <v>38000</v>
      </c>
      <c r="N8" s="95">
        <f>'BAB November'!L6</f>
        <v>0</v>
      </c>
      <c r="O8" s="98">
        <f>'BAB November'!M6</f>
        <v>6000</v>
      </c>
      <c r="P8" s="92"/>
      <c r="Q8" s="154">
        <f>'BAB November'!J6</f>
        <v>45000</v>
      </c>
      <c r="R8" s="155" t="s">
        <v>75</v>
      </c>
    </row>
    <row r="9" spans="2:18" ht="16.5" thickBot="1" x14ac:dyDescent="0.3">
      <c r="B9" s="69" t="s">
        <v>19</v>
      </c>
      <c r="C9" s="99" t="s">
        <v>20</v>
      </c>
      <c r="D9" s="94">
        <f>'BAB November'!D7</f>
        <v>210000</v>
      </c>
      <c r="E9" s="86" t="str">
        <f>'BAB November'!E7</f>
        <v>Lohn-/Gehaltslisten (direkt)</v>
      </c>
      <c r="F9" s="95">
        <f>'BAB November'!F7</f>
        <v>32000</v>
      </c>
      <c r="G9" s="96">
        <f>'BAB November'!G7</f>
        <v>17000</v>
      </c>
      <c r="H9" s="95">
        <f>'BAB November'!H7</f>
        <v>25000</v>
      </c>
      <c r="I9" s="97">
        <f>'BAB November'!I7</f>
        <v>8000</v>
      </c>
      <c r="J9" s="95"/>
      <c r="K9" s="95"/>
      <c r="L9" s="98"/>
      <c r="M9" s="96">
        <f>'BAB November'!K7</f>
        <v>31000</v>
      </c>
      <c r="N9" s="95">
        <f>'BAB November'!L7</f>
        <v>46000</v>
      </c>
      <c r="O9" s="98">
        <f>'BAB November'!M7</f>
        <v>15000</v>
      </c>
      <c r="P9" s="92"/>
      <c r="Q9" s="154">
        <f>'BAB November'!J7</f>
        <v>36000</v>
      </c>
      <c r="R9" s="155" t="s">
        <v>75</v>
      </c>
    </row>
    <row r="10" spans="2:18" ht="16.5" thickBot="1" x14ac:dyDescent="0.3">
      <c r="B10" s="69" t="s">
        <v>21</v>
      </c>
      <c r="C10" s="86" t="s">
        <v>22</v>
      </c>
      <c r="D10" s="87">
        <f>'BAB November'!D8</f>
        <v>87500</v>
      </c>
      <c r="E10" s="86" t="str">
        <f>'BAB November'!E8</f>
        <v>Rechnungen (direkt</v>
      </c>
      <c r="F10" s="88">
        <f>'BAB November'!F8</f>
        <v>14000</v>
      </c>
      <c r="G10" s="89">
        <f>'BAB November'!G8</f>
        <v>14000</v>
      </c>
      <c r="H10" s="88">
        <f>'BAB November'!H8</f>
        <v>7000</v>
      </c>
      <c r="I10" s="90">
        <f>'BAB November'!I8</f>
        <v>14000</v>
      </c>
      <c r="J10" s="88"/>
      <c r="K10" s="88"/>
      <c r="L10" s="91"/>
      <c r="M10" s="89">
        <f>'BAB November'!K8</f>
        <v>14000</v>
      </c>
      <c r="N10" s="88">
        <f>'BAB November'!L8</f>
        <v>3500</v>
      </c>
      <c r="O10" s="91">
        <f>'BAB November'!M8</f>
        <v>3500</v>
      </c>
      <c r="P10" s="92"/>
      <c r="Q10" s="152">
        <f>'BAB November'!J8</f>
        <v>17500</v>
      </c>
      <c r="R10" s="153" t="s">
        <v>76</v>
      </c>
    </row>
    <row r="11" spans="2:18" ht="16.5" thickBot="1" x14ac:dyDescent="0.3">
      <c r="B11" s="69" t="s">
        <v>24</v>
      </c>
      <c r="C11" s="93" t="s">
        <v>42</v>
      </c>
      <c r="D11" s="94">
        <f>'BAB November'!D9</f>
        <v>52000</v>
      </c>
      <c r="E11" s="86" t="str">
        <f>'BAB November'!E9</f>
        <v>Schlüssel</v>
      </c>
      <c r="F11" s="95">
        <f>'BAB November'!F9</f>
        <v>4000</v>
      </c>
      <c r="G11" s="96">
        <f>'BAB November'!G9</f>
        <v>4000</v>
      </c>
      <c r="H11" s="95">
        <f>'BAB November'!H9</f>
        <v>8000</v>
      </c>
      <c r="I11" s="97">
        <f>'BAB November'!I9</f>
        <v>0</v>
      </c>
      <c r="J11" s="95"/>
      <c r="K11" s="95"/>
      <c r="L11" s="98"/>
      <c r="M11" s="96">
        <f>'BAB November'!K9</f>
        <v>4000</v>
      </c>
      <c r="N11" s="95">
        <f>'BAB November'!L9</f>
        <v>12000</v>
      </c>
      <c r="O11" s="98">
        <f>'BAB November'!M9</f>
        <v>16000</v>
      </c>
      <c r="P11" s="92"/>
      <c r="Q11" s="154">
        <f>'BAB November'!J9</f>
        <v>4000</v>
      </c>
      <c r="R11" s="155" t="s">
        <v>70</v>
      </c>
    </row>
    <row r="12" spans="2:18" ht="16.5" thickBot="1" x14ac:dyDescent="0.3">
      <c r="B12" s="69" t="s">
        <v>25</v>
      </c>
      <c r="C12" s="86" t="s">
        <v>26</v>
      </c>
      <c r="D12" s="87">
        <f>'BAB November'!D10</f>
        <v>94000</v>
      </c>
      <c r="E12" s="86" t="str">
        <f>'BAB November'!E10</f>
        <v>Rechnungen (direkt)</v>
      </c>
      <c r="F12" s="88">
        <f>'BAB November'!F10</f>
        <v>9000</v>
      </c>
      <c r="G12" s="89">
        <f>'BAB November'!G10</f>
        <v>8000</v>
      </c>
      <c r="H12" s="88">
        <f>'BAB November'!H10</f>
        <v>7000</v>
      </c>
      <c r="I12" s="90">
        <f>'BAB November'!I10</f>
        <v>5000</v>
      </c>
      <c r="J12" s="95"/>
      <c r="K12" s="88"/>
      <c r="L12" s="91"/>
      <c r="M12" s="89">
        <f>'BAB November'!K10</f>
        <v>11000</v>
      </c>
      <c r="N12" s="88">
        <f>'BAB November'!L10</f>
        <v>24000</v>
      </c>
      <c r="O12" s="91">
        <f>'BAB November'!M10</f>
        <v>18000</v>
      </c>
      <c r="P12" s="92"/>
      <c r="Q12" s="152">
        <f>'BAB November'!J10</f>
        <v>12000</v>
      </c>
      <c r="R12" s="153" t="s">
        <v>70</v>
      </c>
    </row>
    <row r="13" spans="2:18" ht="16.5" thickBot="1" x14ac:dyDescent="0.3">
      <c r="B13" s="69" t="s">
        <v>27</v>
      </c>
      <c r="C13" s="93" t="s">
        <v>0</v>
      </c>
      <c r="D13" s="94">
        <f>'BAB November'!D11</f>
        <v>518000</v>
      </c>
      <c r="E13" s="86" t="str">
        <f>'BAB November'!E11</f>
        <v>Gehaltslisten (direkt)</v>
      </c>
      <c r="F13" s="95">
        <f>'BAB November'!F11</f>
        <v>68000</v>
      </c>
      <c r="G13" s="96">
        <f>'BAB November'!G11</f>
        <v>37000</v>
      </c>
      <c r="H13" s="95">
        <f>'BAB November'!H11</f>
        <v>42000</v>
      </c>
      <c r="I13" s="97">
        <f>'BAB November'!I11</f>
        <v>18000</v>
      </c>
      <c r="J13" s="95"/>
      <c r="K13" s="95"/>
      <c r="L13" s="98"/>
      <c r="M13" s="96">
        <f>'BAB November'!K11</f>
        <v>76000</v>
      </c>
      <c r="N13" s="95">
        <f>'BAB November'!L11</f>
        <v>154000</v>
      </c>
      <c r="O13" s="98">
        <f>'BAB November'!M11</f>
        <v>39000</v>
      </c>
      <c r="P13" s="92"/>
      <c r="Q13" s="154">
        <f>'BAB November'!J11</f>
        <v>84000</v>
      </c>
      <c r="R13" s="155" t="s">
        <v>70</v>
      </c>
    </row>
    <row r="14" spans="2:18" ht="16.5" thickBot="1" x14ac:dyDescent="0.3">
      <c r="B14" s="69" t="s">
        <v>28</v>
      </c>
      <c r="C14" s="99" t="s">
        <v>9</v>
      </c>
      <c r="D14" s="94">
        <f>'BAB November'!D12</f>
        <v>48000</v>
      </c>
      <c r="E14" s="86" t="str">
        <f>'BAB November'!E12</f>
        <v>Beschäftigtenzahl</v>
      </c>
      <c r="F14" s="95">
        <f>'BAB November'!F12</f>
        <v>3000</v>
      </c>
      <c r="G14" s="96">
        <f>'BAB November'!G12</f>
        <v>3000</v>
      </c>
      <c r="H14" s="95">
        <f>'BAB November'!H12</f>
        <v>6000</v>
      </c>
      <c r="I14" s="97">
        <f>'BAB November'!I12</f>
        <v>6000</v>
      </c>
      <c r="J14" s="95"/>
      <c r="K14" s="95"/>
      <c r="L14" s="98"/>
      <c r="M14" s="96">
        <f>'BAB November'!K12</f>
        <v>6000</v>
      </c>
      <c r="N14" s="95">
        <f>'BAB November'!L12</f>
        <v>12000</v>
      </c>
      <c r="O14" s="98">
        <f>'BAB November'!M12</f>
        <v>6000</v>
      </c>
      <c r="P14" s="92"/>
      <c r="Q14" s="154">
        <f>'BAB November'!J12</f>
        <v>6000</v>
      </c>
      <c r="R14" s="155" t="s">
        <v>75</v>
      </c>
    </row>
    <row r="15" spans="2:18" ht="16.5" thickBot="1" x14ac:dyDescent="0.3">
      <c r="B15" s="69" t="s">
        <v>29</v>
      </c>
      <c r="C15" s="99" t="s">
        <v>43</v>
      </c>
      <c r="D15" s="94">
        <f>'BAB November'!D13</f>
        <v>28000</v>
      </c>
      <c r="E15" s="86" t="str">
        <f>'BAB November'!E13</f>
        <v>Raumgrößen in m2</v>
      </c>
      <c r="F15" s="95">
        <f>'BAB November'!F13</f>
        <v>2000</v>
      </c>
      <c r="G15" s="96">
        <f>'BAB November'!G13</f>
        <v>4000</v>
      </c>
      <c r="H15" s="95">
        <f>'BAB November'!H13</f>
        <v>2000</v>
      </c>
      <c r="I15" s="97">
        <f>'BAB November'!I13</f>
        <v>2000</v>
      </c>
      <c r="J15" s="95"/>
      <c r="K15" s="95"/>
      <c r="L15" s="98"/>
      <c r="M15" s="96">
        <f>'BAB November'!K13</f>
        <v>6000</v>
      </c>
      <c r="N15" s="95">
        <f>'BAB November'!L13</f>
        <v>4000</v>
      </c>
      <c r="O15" s="98">
        <f>'BAB November'!M13</f>
        <v>2000</v>
      </c>
      <c r="P15" s="92"/>
      <c r="Q15" s="154">
        <f>'BAB November'!J13</f>
        <v>6000</v>
      </c>
      <c r="R15" s="155" t="s">
        <v>70</v>
      </c>
    </row>
    <row r="16" spans="2:18" ht="16.5" thickBot="1" x14ac:dyDescent="0.3">
      <c r="B16" s="69" t="s">
        <v>44</v>
      </c>
      <c r="C16" s="99" t="s">
        <v>45</v>
      </c>
      <c r="D16" s="94">
        <f>'BAB November'!D14</f>
        <v>165000</v>
      </c>
      <c r="E16" s="86" t="str">
        <f>'BAB November'!E14</f>
        <v>Anlagenwerte in T€</v>
      </c>
      <c r="F16" s="95">
        <f>'BAB November'!F14</f>
        <v>33000</v>
      </c>
      <c r="G16" s="96">
        <f>'BAB November'!G14</f>
        <v>22000</v>
      </c>
      <c r="H16" s="95">
        <f>'BAB November'!H14</f>
        <v>11000</v>
      </c>
      <c r="I16" s="97">
        <f>'BAB November'!I14</f>
        <v>11000</v>
      </c>
      <c r="J16" s="95"/>
      <c r="K16" s="95"/>
      <c r="L16" s="98"/>
      <c r="M16" s="96">
        <f>'BAB November'!K14</f>
        <v>33000</v>
      </c>
      <c r="N16" s="95">
        <f>'BAB November'!L14</f>
        <v>11000</v>
      </c>
      <c r="O16" s="98">
        <f>'BAB November'!M14</f>
        <v>11000</v>
      </c>
      <c r="P16" s="92"/>
      <c r="Q16" s="154">
        <f>'BAB November'!J14</f>
        <v>33000</v>
      </c>
      <c r="R16" s="155" t="s">
        <v>70</v>
      </c>
    </row>
    <row r="17" spans="2:18" ht="16.5" thickBot="1" x14ac:dyDescent="0.3">
      <c r="B17" s="69" t="s">
        <v>46</v>
      </c>
      <c r="C17" s="86" t="s">
        <v>8</v>
      </c>
      <c r="D17" s="87">
        <f>'BAB November'!D15</f>
        <v>116000</v>
      </c>
      <c r="E17" s="86" t="str">
        <f>'BAB November'!E15</f>
        <v>Investitionsplanung</v>
      </c>
      <c r="F17" s="100">
        <f>'BAB November'!F15</f>
        <v>34000</v>
      </c>
      <c r="G17" s="100">
        <f>'BAB November'!G15</f>
        <v>12000</v>
      </c>
      <c r="H17" s="100">
        <f>'BAB November'!H15</f>
        <v>2000</v>
      </c>
      <c r="I17" s="100">
        <f>'BAB November'!I15</f>
        <v>8000</v>
      </c>
      <c r="J17" s="95"/>
      <c r="K17" s="100"/>
      <c r="L17" s="101"/>
      <c r="M17" s="100">
        <f>'BAB November'!K15</f>
        <v>25000</v>
      </c>
      <c r="N17" s="100">
        <f>'BAB November'!L15</f>
        <v>6000</v>
      </c>
      <c r="O17" s="100">
        <f>'BAB November'!M15</f>
        <v>2000</v>
      </c>
      <c r="P17" s="92"/>
      <c r="Q17" s="156">
        <f>'BAB November'!J15</f>
        <v>27000</v>
      </c>
      <c r="R17" s="157" t="s">
        <v>70</v>
      </c>
    </row>
    <row r="18" spans="2:18" ht="16.5" thickBot="1" x14ac:dyDescent="0.3">
      <c r="C18" s="102" t="s">
        <v>32</v>
      </c>
      <c r="D18" s="103">
        <f>'BAB November'!D16</f>
        <v>1545500</v>
      </c>
      <c r="E18" s="104"/>
      <c r="F18" s="105">
        <f>'BAB November'!F16</f>
        <v>240000</v>
      </c>
      <c r="G18" s="106">
        <f>'BAB November'!G16</f>
        <v>153000</v>
      </c>
      <c r="H18" s="107">
        <f>'BAB November'!H16</f>
        <v>134000</v>
      </c>
      <c r="I18" s="108">
        <f>'BAB November'!I16</f>
        <v>88000</v>
      </c>
      <c r="J18" s="108"/>
      <c r="K18" s="106"/>
      <c r="L18" s="107"/>
      <c r="M18" s="108">
        <f>'BAB November'!K16</f>
        <v>254000</v>
      </c>
      <c r="N18" s="108">
        <f>'BAB November'!L16</f>
        <v>274500</v>
      </c>
      <c r="O18" s="106">
        <f>'BAB November'!M16</f>
        <v>119500</v>
      </c>
      <c r="P18" s="92"/>
      <c r="Q18" s="158">
        <f>'BAB November'!J16</f>
        <v>282500</v>
      </c>
      <c r="R18" s="159"/>
    </row>
    <row r="19" spans="2:18" ht="16.5" thickBot="1" x14ac:dyDescent="0.3">
      <c r="F19" s="109" t="str">
        <f>'BAB November'!F17</f>
        <v>Umlage</v>
      </c>
      <c r="G19" s="110">
        <f>'BAB November'!G17</f>
        <v>12000</v>
      </c>
      <c r="H19" s="110">
        <f>'BAB November'!H17</f>
        <v>12000</v>
      </c>
      <c r="I19" s="110">
        <f>'BAB November'!I17</f>
        <v>36000</v>
      </c>
      <c r="J19" s="111"/>
      <c r="K19" s="88"/>
      <c r="L19" s="112"/>
      <c r="M19" s="111">
        <f>'BAB November'!K17</f>
        <v>60000</v>
      </c>
      <c r="N19" s="111">
        <f>'BAB November'!L17</f>
        <v>36000</v>
      </c>
      <c r="O19" s="113">
        <f>'BAB November'!M17</f>
        <v>12000</v>
      </c>
      <c r="Q19" s="160">
        <f>'BAB November'!J17</f>
        <v>72000</v>
      </c>
      <c r="R19" s="161" t="s">
        <v>69</v>
      </c>
    </row>
    <row r="20" spans="2:18" ht="16.5" thickBot="1" x14ac:dyDescent="0.3">
      <c r="C20" s="102" t="s">
        <v>32</v>
      </c>
      <c r="D20" s="104"/>
      <c r="E20" s="104"/>
      <c r="F20" s="104"/>
      <c r="G20" s="106">
        <f>'BAB November'!G18</f>
        <v>165000</v>
      </c>
      <c r="H20" s="114">
        <f>'BAB November'!H18</f>
        <v>146000</v>
      </c>
      <c r="I20" s="115">
        <f>'BAB November'!I18</f>
        <v>124000</v>
      </c>
      <c r="J20" s="115"/>
      <c r="K20" s="116"/>
      <c r="L20" s="114"/>
      <c r="M20" s="115">
        <f>'BAB November'!K18</f>
        <v>314000</v>
      </c>
      <c r="N20" s="115">
        <f>'BAB November'!L18</f>
        <v>310500</v>
      </c>
      <c r="O20" s="116">
        <f>'BAB November'!M18</f>
        <v>131500</v>
      </c>
      <c r="Q20" s="162">
        <f>'BAB November'!J18</f>
        <v>354500</v>
      </c>
      <c r="R20" s="163"/>
    </row>
    <row r="21" spans="2:18" ht="16.5" thickBot="1" x14ac:dyDescent="0.3">
      <c r="G21" s="109" t="str">
        <f>'BAB November'!G19</f>
        <v>Umlage</v>
      </c>
      <c r="H21" s="110">
        <f>'BAB November'!H19</f>
        <v>30000</v>
      </c>
      <c r="I21" s="117">
        <f>'BAB November'!I19</f>
        <v>15000</v>
      </c>
      <c r="J21" s="111"/>
      <c r="K21" s="88"/>
      <c r="L21" s="112"/>
      <c r="M21" s="111">
        <f>'BAB November'!K19</f>
        <v>15000</v>
      </c>
      <c r="N21" s="111">
        <f>'BAB November'!L19</f>
        <v>37500</v>
      </c>
      <c r="O21" s="113">
        <f>'BAB November'!M19</f>
        <v>45000</v>
      </c>
      <c r="Q21" s="160">
        <f>'BAB November'!J19</f>
        <v>22500</v>
      </c>
      <c r="R21" s="161" t="s">
        <v>69</v>
      </c>
    </row>
    <row r="22" spans="2:18" ht="16.5" thickBot="1" x14ac:dyDescent="0.3">
      <c r="C22" s="102" t="s">
        <v>32</v>
      </c>
      <c r="D22" s="104"/>
      <c r="E22" s="104"/>
      <c r="F22" s="104"/>
      <c r="G22" s="104"/>
      <c r="H22" s="114">
        <f>'BAB November'!H20</f>
        <v>176000</v>
      </c>
      <c r="I22" s="115">
        <f>'BAB November'!I20</f>
        <v>139000</v>
      </c>
      <c r="J22" s="115"/>
      <c r="K22" s="116"/>
      <c r="L22" s="114"/>
      <c r="M22" s="115">
        <f>'BAB November'!K20</f>
        <v>329000</v>
      </c>
      <c r="N22" s="115">
        <f>'BAB November'!L20</f>
        <v>348000</v>
      </c>
      <c r="O22" s="116">
        <f>'BAB November'!M20</f>
        <v>176500</v>
      </c>
      <c r="Q22" s="162">
        <f>'BAB November'!J20</f>
        <v>377000</v>
      </c>
      <c r="R22" s="163"/>
    </row>
    <row r="23" spans="2:18" ht="16.5" thickBot="1" x14ac:dyDescent="0.3">
      <c r="I23" s="109" t="str">
        <f>'BAB November'!I21</f>
        <v>Umlage</v>
      </c>
      <c r="J23" s="118"/>
      <c r="K23" s="119"/>
      <c r="L23" s="120"/>
      <c r="M23" s="121">
        <f>'BAB November'!K21</f>
        <v>55600</v>
      </c>
      <c r="N23" s="122"/>
      <c r="O23" s="113"/>
      <c r="Q23" s="164">
        <f>'BAB November'!J21</f>
        <v>83400</v>
      </c>
      <c r="R23" s="165" t="s">
        <v>70</v>
      </c>
    </row>
    <row r="24" spans="2:18" ht="16.5" thickBot="1" x14ac:dyDescent="0.3">
      <c r="J24" s="123"/>
      <c r="K24" s="123"/>
      <c r="L24" s="124"/>
      <c r="M24" s="125">
        <f>'BAB November'!K22</f>
        <v>384600</v>
      </c>
      <c r="N24" s="123">
        <f>N22</f>
        <v>348000</v>
      </c>
      <c r="O24" s="123">
        <f>O22</f>
        <v>176500</v>
      </c>
      <c r="Q24" s="166">
        <f>'BAB November'!J22</f>
        <v>460400</v>
      </c>
      <c r="R24" s="167"/>
    </row>
    <row r="25" spans="2:18" x14ac:dyDescent="0.25">
      <c r="C25" s="126" t="s">
        <v>30</v>
      </c>
      <c r="D25" s="127"/>
      <c r="E25" s="127"/>
      <c r="F25" s="127"/>
      <c r="G25" s="127"/>
      <c r="H25" s="127">
        <f>'BAB November'!H23</f>
        <v>1100000</v>
      </c>
      <c r="I25" s="127"/>
      <c r="J25" s="170"/>
      <c r="K25" s="170"/>
      <c r="L25" s="128"/>
      <c r="M25" s="128">
        <f>'BAB November'!K23</f>
        <v>200000</v>
      </c>
      <c r="N25" s="129">
        <f>'BAB November'!L23</f>
        <v>2183000</v>
      </c>
      <c r="O25" s="130">
        <f>'BAB November'!M23</f>
        <v>2183000</v>
      </c>
    </row>
    <row r="26" spans="2:18" x14ac:dyDescent="0.25">
      <c r="C26" s="126"/>
      <c r="D26" s="131"/>
      <c r="E26" s="131"/>
      <c r="F26" s="131"/>
      <c r="G26" s="131"/>
      <c r="H26" s="126"/>
      <c r="I26" s="131"/>
      <c r="J26" s="132"/>
      <c r="K26" s="133"/>
      <c r="L26" s="126"/>
      <c r="M26" s="126"/>
      <c r="N26" s="126"/>
      <c r="O26" s="134"/>
    </row>
    <row r="27" spans="2:18" x14ac:dyDescent="0.25">
      <c r="C27" s="126" t="s">
        <v>31</v>
      </c>
      <c r="D27" s="126"/>
      <c r="E27" s="126"/>
      <c r="F27" s="126"/>
      <c r="G27" s="126"/>
      <c r="H27" s="135">
        <f>H22/H25</f>
        <v>0.16</v>
      </c>
      <c r="I27" s="126"/>
      <c r="J27" s="171"/>
      <c r="K27" s="171"/>
      <c r="L27" s="135"/>
      <c r="M27" s="135">
        <f>M24/M25</f>
        <v>1.923</v>
      </c>
      <c r="N27" s="135">
        <f>N24/N25</f>
        <v>0.15941365093907467</v>
      </c>
      <c r="O27" s="136">
        <f>O24/O25</f>
        <v>8.0852038479157118E-2</v>
      </c>
    </row>
    <row r="28" spans="2:18" x14ac:dyDescent="0.25">
      <c r="G28" s="137"/>
    </row>
  </sheetData>
  <mergeCells count="3">
    <mergeCell ref="J5:K5"/>
    <mergeCell ref="J25:K25"/>
    <mergeCell ref="J27:K27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B1:P39"/>
  <sheetViews>
    <sheetView tabSelected="1" zoomScale="90" zoomScaleNormal="90" workbookViewId="0"/>
  </sheetViews>
  <sheetFormatPr baseColWidth="10" defaultRowHeight="15.75" x14ac:dyDescent="0.25"/>
  <cols>
    <col min="1" max="1" width="3.5703125" style="69" customWidth="1"/>
    <col min="2" max="2" width="4" style="69" bestFit="1" customWidth="1"/>
    <col min="3" max="3" width="28.140625" style="69" bestFit="1" customWidth="1"/>
    <col min="4" max="4" width="16.28515625" style="69" bestFit="1" customWidth="1"/>
    <col min="5" max="5" width="11.140625" style="69" customWidth="1"/>
    <col min="6" max="6" width="14.42578125" style="69" bestFit="1" customWidth="1"/>
    <col min="7" max="7" width="16.28515625" style="69" bestFit="1" customWidth="1"/>
    <col min="8" max="8" width="14.7109375" style="69" bestFit="1" customWidth="1"/>
    <col min="9" max="9" width="20.42578125" style="69" bestFit="1" customWidth="1"/>
    <col min="10" max="10" width="15.28515625" style="69" bestFit="1" customWidth="1"/>
    <col min="11" max="12" width="14.42578125" style="69" customWidth="1"/>
    <col min="13" max="13" width="17.140625" style="69" bestFit="1" customWidth="1"/>
    <col min="14" max="14" width="16.85546875" style="69" bestFit="1" customWidth="1"/>
    <col min="15" max="15" width="16.28515625" style="69" bestFit="1" customWidth="1"/>
    <col min="16" max="16" width="11.85546875" style="69" bestFit="1" customWidth="1"/>
    <col min="17" max="16384" width="11.42578125" style="69"/>
  </cols>
  <sheetData>
    <row r="1" spans="2:16" ht="16.5" thickBot="1" x14ac:dyDescent="0.3">
      <c r="B1" s="68"/>
    </row>
    <row r="2" spans="2:16" ht="16.5" thickBot="1" x14ac:dyDescent="0.3">
      <c r="C2" s="70" t="str">
        <f>'BAB November'!$C$2</f>
        <v>BAB Monat November 20xx</v>
      </c>
    </row>
    <row r="3" spans="2:16" x14ac:dyDescent="0.25">
      <c r="C3" s="71"/>
      <c r="D3" s="72"/>
      <c r="E3" s="71"/>
      <c r="F3" s="73" t="s">
        <v>4</v>
      </c>
      <c r="G3" s="74" t="s">
        <v>3</v>
      </c>
      <c r="H3" s="73" t="s">
        <v>2</v>
      </c>
      <c r="I3" s="75" t="s">
        <v>1</v>
      </c>
      <c r="J3" s="76" t="s">
        <v>10</v>
      </c>
      <c r="K3" s="77"/>
      <c r="L3" s="78"/>
      <c r="M3" s="74" t="s">
        <v>11</v>
      </c>
      <c r="N3" s="79" t="s">
        <v>12</v>
      </c>
      <c r="O3" s="78" t="s">
        <v>13</v>
      </c>
    </row>
    <row r="4" spans="2:16" x14ac:dyDescent="0.25">
      <c r="C4" s="71"/>
      <c r="D4" s="80"/>
      <c r="E4" s="71"/>
      <c r="F4" s="79" t="s">
        <v>34</v>
      </c>
      <c r="G4" s="74" t="s">
        <v>35</v>
      </c>
      <c r="H4" s="79" t="s">
        <v>36</v>
      </c>
      <c r="I4" s="76" t="s">
        <v>37</v>
      </c>
      <c r="J4" s="76" t="s">
        <v>38</v>
      </c>
      <c r="K4" s="77"/>
      <c r="L4" s="78"/>
      <c r="M4" s="74" t="s">
        <v>39</v>
      </c>
      <c r="N4" s="79" t="s">
        <v>40</v>
      </c>
      <c r="O4" s="78" t="s">
        <v>41</v>
      </c>
    </row>
    <row r="5" spans="2:16" x14ac:dyDescent="0.25">
      <c r="C5" s="71"/>
      <c r="D5" s="80"/>
      <c r="E5" s="71"/>
      <c r="F5" s="79"/>
      <c r="G5" s="74"/>
      <c r="H5" s="79"/>
      <c r="I5" s="76"/>
      <c r="J5" s="168" t="s">
        <v>71</v>
      </c>
      <c r="K5" s="169"/>
      <c r="L5" s="78" t="s">
        <v>72</v>
      </c>
      <c r="M5" s="74"/>
      <c r="N5" s="79"/>
      <c r="O5" s="78"/>
    </row>
    <row r="6" spans="2:16" ht="16.5" thickBot="1" x14ac:dyDescent="0.3">
      <c r="B6" s="81" t="s">
        <v>14</v>
      </c>
      <c r="C6" s="82" t="s">
        <v>15</v>
      </c>
      <c r="D6" s="83" t="s">
        <v>16</v>
      </c>
      <c r="E6" s="82" t="s">
        <v>5</v>
      </c>
      <c r="F6" s="83"/>
      <c r="G6" s="83"/>
      <c r="H6" s="83"/>
      <c r="I6" s="84"/>
      <c r="J6" s="83" t="s">
        <v>70</v>
      </c>
      <c r="K6" s="83" t="s">
        <v>69</v>
      </c>
      <c r="L6" s="85" t="s">
        <v>74</v>
      </c>
      <c r="M6" s="82"/>
      <c r="N6" s="83"/>
      <c r="O6" s="85"/>
    </row>
    <row r="7" spans="2:16" ht="16.5" thickBot="1" x14ac:dyDescent="0.3">
      <c r="B7" s="69" t="s">
        <v>17</v>
      </c>
      <c r="C7" s="86" t="s">
        <v>6</v>
      </c>
      <c r="D7" s="87">
        <f>'BAB November'!D5</f>
        <v>43000</v>
      </c>
      <c r="E7" s="86" t="str">
        <f>'BAB November'!E5</f>
        <v>Rechnungen (direkt</v>
      </c>
      <c r="F7" s="88">
        <f>'BAB November'!F5</f>
        <v>6000</v>
      </c>
      <c r="G7" s="89">
        <f>'BAB November'!G5</f>
        <v>4000</v>
      </c>
      <c r="H7" s="88">
        <f>'BAB November'!H5</f>
        <v>5000</v>
      </c>
      <c r="I7" s="90">
        <f>'BAB November'!I5</f>
        <v>3000</v>
      </c>
      <c r="J7" s="213"/>
      <c r="K7" s="213"/>
      <c r="L7" s="214"/>
      <c r="M7" s="89">
        <f>'BAB November'!K5</f>
        <v>10000</v>
      </c>
      <c r="N7" s="88">
        <f>'BAB November'!L5</f>
        <v>2000</v>
      </c>
      <c r="O7" s="91">
        <f>'BAB November'!M5</f>
        <v>1000</v>
      </c>
      <c r="P7" s="92"/>
    </row>
    <row r="8" spans="2:16" ht="16.5" thickBot="1" x14ac:dyDescent="0.3">
      <c r="B8" s="69" t="s">
        <v>18</v>
      </c>
      <c r="C8" s="93" t="s">
        <v>7</v>
      </c>
      <c r="D8" s="94">
        <f>'BAB November'!D6</f>
        <v>184000</v>
      </c>
      <c r="E8" s="86" t="str">
        <f>'BAB November'!E6</f>
        <v>Lohnlisten (direkt)</v>
      </c>
      <c r="F8" s="95">
        <f>'BAB November'!F6</f>
        <v>35000</v>
      </c>
      <c r="G8" s="96">
        <f>'BAB November'!G6</f>
        <v>28000</v>
      </c>
      <c r="H8" s="95">
        <f>'BAB November'!H6</f>
        <v>19000</v>
      </c>
      <c r="I8" s="97">
        <f>'BAB November'!I6</f>
        <v>13000</v>
      </c>
      <c r="J8" s="215"/>
      <c r="K8" s="215"/>
      <c r="L8" s="216"/>
      <c r="M8" s="96">
        <f>'BAB November'!K6</f>
        <v>38000</v>
      </c>
      <c r="N8" s="95">
        <f>'BAB November'!L6</f>
        <v>0</v>
      </c>
      <c r="O8" s="98">
        <f>'BAB November'!M6</f>
        <v>6000</v>
      </c>
      <c r="P8" s="92"/>
    </row>
    <row r="9" spans="2:16" ht="16.5" thickBot="1" x14ac:dyDescent="0.3">
      <c r="B9" s="69" t="s">
        <v>19</v>
      </c>
      <c r="C9" s="99" t="s">
        <v>20</v>
      </c>
      <c r="D9" s="94">
        <f>'BAB November'!D7</f>
        <v>210000</v>
      </c>
      <c r="E9" s="86" t="str">
        <f>'BAB November'!E7</f>
        <v>Lohn-/Gehaltslisten (direkt)</v>
      </c>
      <c r="F9" s="95">
        <f>'BAB November'!F7</f>
        <v>32000</v>
      </c>
      <c r="G9" s="96">
        <f>'BAB November'!G7</f>
        <v>17000</v>
      </c>
      <c r="H9" s="95">
        <f>'BAB November'!H7</f>
        <v>25000</v>
      </c>
      <c r="I9" s="97">
        <f>'BAB November'!I7</f>
        <v>8000</v>
      </c>
      <c r="J9" s="215"/>
      <c r="K9" s="215"/>
      <c r="L9" s="216"/>
      <c r="M9" s="96">
        <f>'BAB November'!K7</f>
        <v>31000</v>
      </c>
      <c r="N9" s="95">
        <f>'BAB November'!L7</f>
        <v>46000</v>
      </c>
      <c r="O9" s="98">
        <f>'BAB November'!M7</f>
        <v>15000</v>
      </c>
      <c r="P9" s="92"/>
    </row>
    <row r="10" spans="2:16" ht="16.5" thickBot="1" x14ac:dyDescent="0.3">
      <c r="B10" s="69" t="s">
        <v>21</v>
      </c>
      <c r="C10" s="86" t="s">
        <v>22</v>
      </c>
      <c r="D10" s="87">
        <f>'BAB November'!D8</f>
        <v>87500</v>
      </c>
      <c r="E10" s="86" t="str">
        <f>'BAB November'!E8</f>
        <v>Rechnungen (direkt</v>
      </c>
      <c r="F10" s="88">
        <f>'BAB November'!F8</f>
        <v>14000</v>
      </c>
      <c r="G10" s="89">
        <f>'BAB November'!G8</f>
        <v>14000</v>
      </c>
      <c r="H10" s="88">
        <f>'BAB November'!H8</f>
        <v>7000</v>
      </c>
      <c r="I10" s="90">
        <f>'BAB November'!I8</f>
        <v>14000</v>
      </c>
      <c r="J10" s="213"/>
      <c r="K10" s="213"/>
      <c r="L10" s="214"/>
      <c r="M10" s="89">
        <f>'BAB November'!K8</f>
        <v>14000</v>
      </c>
      <c r="N10" s="88">
        <f>'BAB November'!L8</f>
        <v>3500</v>
      </c>
      <c r="O10" s="91">
        <f>'BAB November'!M8</f>
        <v>3500</v>
      </c>
      <c r="P10" s="92"/>
    </row>
    <row r="11" spans="2:16" ht="16.5" thickBot="1" x14ac:dyDescent="0.3">
      <c r="B11" s="69" t="s">
        <v>24</v>
      </c>
      <c r="C11" s="93" t="s">
        <v>42</v>
      </c>
      <c r="D11" s="94">
        <f>'BAB November'!D9</f>
        <v>52000</v>
      </c>
      <c r="E11" s="86" t="str">
        <f>'BAB November'!E9</f>
        <v>Schlüssel</v>
      </c>
      <c r="F11" s="95">
        <f>'BAB November'!F9</f>
        <v>4000</v>
      </c>
      <c r="G11" s="96">
        <f>'BAB November'!G9</f>
        <v>4000</v>
      </c>
      <c r="H11" s="95">
        <f>'BAB November'!H9</f>
        <v>8000</v>
      </c>
      <c r="I11" s="97">
        <f>'BAB November'!I9</f>
        <v>0</v>
      </c>
      <c r="J11" s="215"/>
      <c r="K11" s="215"/>
      <c r="L11" s="216"/>
      <c r="M11" s="96">
        <f>'BAB November'!K9</f>
        <v>4000</v>
      </c>
      <c r="N11" s="95">
        <f>'BAB November'!L9</f>
        <v>12000</v>
      </c>
      <c r="O11" s="98">
        <f>'BAB November'!M9</f>
        <v>16000</v>
      </c>
      <c r="P11" s="92"/>
    </row>
    <row r="12" spans="2:16" ht="16.5" thickBot="1" x14ac:dyDescent="0.3">
      <c r="B12" s="69" t="s">
        <v>25</v>
      </c>
      <c r="C12" s="86" t="s">
        <v>26</v>
      </c>
      <c r="D12" s="87">
        <f>'BAB November'!D10</f>
        <v>94000</v>
      </c>
      <c r="E12" s="86" t="str">
        <f>'BAB November'!E10</f>
        <v>Rechnungen (direkt)</v>
      </c>
      <c r="F12" s="88">
        <f>'BAB November'!F10</f>
        <v>9000</v>
      </c>
      <c r="G12" s="89">
        <f>'BAB November'!G10</f>
        <v>8000</v>
      </c>
      <c r="H12" s="88">
        <f>'BAB November'!H10</f>
        <v>7000</v>
      </c>
      <c r="I12" s="90">
        <f>'BAB November'!I10</f>
        <v>5000</v>
      </c>
      <c r="J12" s="215"/>
      <c r="K12" s="213"/>
      <c r="L12" s="214"/>
      <c r="M12" s="89">
        <f>'BAB November'!K10</f>
        <v>11000</v>
      </c>
      <c r="N12" s="88">
        <f>'BAB November'!L10</f>
        <v>24000</v>
      </c>
      <c r="O12" s="91">
        <f>'BAB November'!M10</f>
        <v>18000</v>
      </c>
      <c r="P12" s="92"/>
    </row>
    <row r="13" spans="2:16" ht="16.5" thickBot="1" x14ac:dyDescent="0.3">
      <c r="B13" s="69" t="s">
        <v>27</v>
      </c>
      <c r="C13" s="93" t="s">
        <v>0</v>
      </c>
      <c r="D13" s="94">
        <f>'BAB November'!D11</f>
        <v>518000</v>
      </c>
      <c r="E13" s="86" t="str">
        <f>'BAB November'!E11</f>
        <v>Gehaltslisten (direkt)</v>
      </c>
      <c r="F13" s="95">
        <f>'BAB November'!F11</f>
        <v>68000</v>
      </c>
      <c r="G13" s="96">
        <f>'BAB November'!G11</f>
        <v>37000</v>
      </c>
      <c r="H13" s="95">
        <f>'BAB November'!H11</f>
        <v>42000</v>
      </c>
      <c r="I13" s="97">
        <f>'BAB November'!I11</f>
        <v>18000</v>
      </c>
      <c r="J13" s="215"/>
      <c r="K13" s="215"/>
      <c r="L13" s="216"/>
      <c r="M13" s="96">
        <f>'BAB November'!K11</f>
        <v>76000</v>
      </c>
      <c r="N13" s="95">
        <f>'BAB November'!L11</f>
        <v>154000</v>
      </c>
      <c r="O13" s="98">
        <f>'BAB November'!M11</f>
        <v>39000</v>
      </c>
      <c r="P13" s="92"/>
    </row>
    <row r="14" spans="2:16" ht="16.5" thickBot="1" x14ac:dyDescent="0.3">
      <c r="B14" s="69" t="s">
        <v>28</v>
      </c>
      <c r="C14" s="99" t="s">
        <v>9</v>
      </c>
      <c r="D14" s="94">
        <f>'BAB November'!D12</f>
        <v>48000</v>
      </c>
      <c r="E14" s="86" t="str">
        <f>'BAB November'!E12</f>
        <v>Beschäftigtenzahl</v>
      </c>
      <c r="F14" s="95">
        <f>'BAB November'!F12</f>
        <v>3000</v>
      </c>
      <c r="G14" s="96">
        <f>'BAB November'!G12</f>
        <v>3000</v>
      </c>
      <c r="H14" s="95">
        <f>'BAB November'!H12</f>
        <v>6000</v>
      </c>
      <c r="I14" s="97">
        <f>'BAB November'!I12</f>
        <v>6000</v>
      </c>
      <c r="J14" s="215"/>
      <c r="K14" s="215"/>
      <c r="L14" s="216"/>
      <c r="M14" s="96">
        <f>'BAB November'!K12</f>
        <v>6000</v>
      </c>
      <c r="N14" s="95">
        <f>'BAB November'!L12</f>
        <v>12000</v>
      </c>
      <c r="O14" s="98">
        <f>'BAB November'!M12</f>
        <v>6000</v>
      </c>
      <c r="P14" s="92"/>
    </row>
    <row r="15" spans="2:16" ht="16.5" thickBot="1" x14ac:dyDescent="0.3">
      <c r="B15" s="69" t="s">
        <v>29</v>
      </c>
      <c r="C15" s="99" t="s">
        <v>43</v>
      </c>
      <c r="D15" s="94">
        <f>'BAB November'!D13</f>
        <v>28000</v>
      </c>
      <c r="E15" s="86" t="str">
        <f>'BAB November'!E13</f>
        <v>Raumgrößen in m2</v>
      </c>
      <c r="F15" s="95">
        <f>'BAB November'!F13</f>
        <v>2000</v>
      </c>
      <c r="G15" s="96">
        <f>'BAB November'!G13</f>
        <v>4000</v>
      </c>
      <c r="H15" s="95">
        <f>'BAB November'!H13</f>
        <v>2000</v>
      </c>
      <c r="I15" s="97">
        <f>'BAB November'!I13</f>
        <v>2000</v>
      </c>
      <c r="J15" s="215"/>
      <c r="K15" s="215"/>
      <c r="L15" s="216"/>
      <c r="M15" s="96">
        <f>'BAB November'!K13</f>
        <v>6000</v>
      </c>
      <c r="N15" s="95">
        <f>'BAB November'!L13</f>
        <v>4000</v>
      </c>
      <c r="O15" s="98">
        <f>'BAB November'!M13</f>
        <v>2000</v>
      </c>
      <c r="P15" s="92"/>
    </row>
    <row r="16" spans="2:16" ht="16.5" thickBot="1" x14ac:dyDescent="0.3">
      <c r="B16" s="69" t="s">
        <v>44</v>
      </c>
      <c r="C16" s="99" t="s">
        <v>45</v>
      </c>
      <c r="D16" s="94">
        <f>'BAB November'!D14</f>
        <v>165000</v>
      </c>
      <c r="E16" s="86" t="str">
        <f>'BAB November'!E14</f>
        <v>Anlagenwerte in T€</v>
      </c>
      <c r="F16" s="95">
        <f>'BAB November'!F14</f>
        <v>33000</v>
      </c>
      <c r="G16" s="96">
        <f>'BAB November'!G14</f>
        <v>22000</v>
      </c>
      <c r="H16" s="95">
        <f>'BAB November'!H14</f>
        <v>11000</v>
      </c>
      <c r="I16" s="97">
        <f>'BAB November'!I14</f>
        <v>11000</v>
      </c>
      <c r="J16" s="215"/>
      <c r="K16" s="215"/>
      <c r="L16" s="216"/>
      <c r="M16" s="96">
        <f>'BAB November'!K14</f>
        <v>33000</v>
      </c>
      <c r="N16" s="95">
        <f>'BAB November'!L14</f>
        <v>11000</v>
      </c>
      <c r="O16" s="98">
        <f>'BAB November'!M14</f>
        <v>11000</v>
      </c>
      <c r="P16" s="92"/>
    </row>
    <row r="17" spans="2:16" ht="16.5" thickBot="1" x14ac:dyDescent="0.3">
      <c r="B17" s="69" t="s">
        <v>46</v>
      </c>
      <c r="C17" s="86" t="s">
        <v>8</v>
      </c>
      <c r="D17" s="87">
        <f>'BAB November'!D15</f>
        <v>116000</v>
      </c>
      <c r="E17" s="86" t="str">
        <f>'BAB November'!E15</f>
        <v>Investitionsplanung</v>
      </c>
      <c r="F17" s="100">
        <f>'BAB November'!F15</f>
        <v>34000</v>
      </c>
      <c r="G17" s="100">
        <f>'BAB November'!G15</f>
        <v>12000</v>
      </c>
      <c r="H17" s="100">
        <f>'BAB November'!H15</f>
        <v>2000</v>
      </c>
      <c r="I17" s="100">
        <f>'BAB November'!I15</f>
        <v>8000</v>
      </c>
      <c r="J17" s="215"/>
      <c r="K17" s="217"/>
      <c r="L17" s="218"/>
      <c r="M17" s="100">
        <f>'BAB November'!K15</f>
        <v>25000</v>
      </c>
      <c r="N17" s="100">
        <f>'BAB November'!L15</f>
        <v>6000</v>
      </c>
      <c r="O17" s="100">
        <f>'BAB November'!M15</f>
        <v>2000</v>
      </c>
      <c r="P17" s="92"/>
    </row>
    <row r="18" spans="2:16" ht="16.5" thickBot="1" x14ac:dyDescent="0.3">
      <c r="C18" s="102" t="s">
        <v>32</v>
      </c>
      <c r="D18" s="103">
        <f>'BAB November'!D16</f>
        <v>1545500</v>
      </c>
      <c r="E18" s="104"/>
      <c r="F18" s="105">
        <f>'BAB November'!F16</f>
        <v>240000</v>
      </c>
      <c r="G18" s="106">
        <f>'BAB November'!G16</f>
        <v>153000</v>
      </c>
      <c r="H18" s="107">
        <f>'BAB November'!H16</f>
        <v>134000</v>
      </c>
      <c r="I18" s="108">
        <f>'BAB November'!I16</f>
        <v>88000</v>
      </c>
      <c r="J18" s="219"/>
      <c r="K18" s="220"/>
      <c r="L18" s="221"/>
      <c r="M18" s="108">
        <f>'BAB November'!K16</f>
        <v>254000</v>
      </c>
      <c r="N18" s="108">
        <f>'BAB November'!L16</f>
        <v>274500</v>
      </c>
      <c r="O18" s="106">
        <f>'BAB November'!M16</f>
        <v>119500</v>
      </c>
      <c r="P18" s="92"/>
    </row>
    <row r="19" spans="2:16" ht="16.5" thickBot="1" x14ac:dyDescent="0.3">
      <c r="F19" s="109" t="str">
        <f>'BAB November'!F17</f>
        <v>Umlage</v>
      </c>
      <c r="G19" s="110">
        <f>'BAB November'!G17</f>
        <v>12000</v>
      </c>
      <c r="H19" s="110">
        <f>'BAB November'!H17</f>
        <v>12000</v>
      </c>
      <c r="I19" s="110">
        <f>'BAB November'!I17</f>
        <v>36000</v>
      </c>
      <c r="J19" s="213"/>
      <c r="K19" s="213"/>
      <c r="L19" s="222"/>
      <c r="M19" s="111">
        <f>'BAB November'!K17</f>
        <v>60000</v>
      </c>
      <c r="N19" s="111">
        <f>'BAB November'!L17</f>
        <v>36000</v>
      </c>
      <c r="O19" s="113">
        <f>'BAB November'!M17</f>
        <v>12000</v>
      </c>
    </row>
    <row r="20" spans="2:16" ht="16.5" thickBot="1" x14ac:dyDescent="0.3">
      <c r="C20" s="102" t="s">
        <v>32</v>
      </c>
      <c r="D20" s="104"/>
      <c r="E20" s="104"/>
      <c r="F20" s="104"/>
      <c r="G20" s="106">
        <f>'BAB November'!G18</f>
        <v>165000</v>
      </c>
      <c r="H20" s="114">
        <f>'BAB November'!H18</f>
        <v>146000</v>
      </c>
      <c r="I20" s="115">
        <f>'BAB November'!I18</f>
        <v>124000</v>
      </c>
      <c r="J20" s="219"/>
      <c r="K20" s="220"/>
      <c r="L20" s="221"/>
      <c r="M20" s="115">
        <f>'BAB November'!K18</f>
        <v>314000</v>
      </c>
      <c r="N20" s="115">
        <f>'BAB November'!L18</f>
        <v>310500</v>
      </c>
      <c r="O20" s="116">
        <f>'BAB November'!M18</f>
        <v>131500</v>
      </c>
    </row>
    <row r="21" spans="2:16" ht="16.5" thickBot="1" x14ac:dyDescent="0.3">
      <c r="G21" s="109" t="str">
        <f>'BAB November'!G19</f>
        <v>Umlage</v>
      </c>
      <c r="H21" s="110">
        <f>'BAB November'!H19</f>
        <v>30000</v>
      </c>
      <c r="I21" s="117">
        <f>'BAB November'!I19</f>
        <v>15000</v>
      </c>
      <c r="J21" s="213"/>
      <c r="K21" s="213"/>
      <c r="L21" s="222"/>
      <c r="M21" s="111">
        <f>'BAB November'!K19</f>
        <v>15000</v>
      </c>
      <c r="N21" s="111">
        <f>'BAB November'!L19</f>
        <v>37500</v>
      </c>
      <c r="O21" s="113">
        <f>'BAB November'!M19</f>
        <v>45000</v>
      </c>
    </row>
    <row r="22" spans="2:16" ht="16.5" thickBot="1" x14ac:dyDescent="0.3">
      <c r="C22" s="102" t="s">
        <v>32</v>
      </c>
      <c r="D22" s="104"/>
      <c r="E22" s="104"/>
      <c r="F22" s="104"/>
      <c r="G22" s="104"/>
      <c r="H22" s="114">
        <f>'BAB November'!H20</f>
        <v>176000</v>
      </c>
      <c r="I22" s="115">
        <f>'BAB November'!I20</f>
        <v>139000</v>
      </c>
      <c r="J22" s="219"/>
      <c r="K22" s="220"/>
      <c r="L22" s="221"/>
      <c r="M22" s="115">
        <f>'BAB November'!K20</f>
        <v>329000</v>
      </c>
      <c r="N22" s="115">
        <f>'BAB November'!L20</f>
        <v>348000</v>
      </c>
      <c r="O22" s="116">
        <f>'BAB November'!M20</f>
        <v>176500</v>
      </c>
    </row>
    <row r="23" spans="2:16" ht="16.5" thickBot="1" x14ac:dyDescent="0.3">
      <c r="I23" s="109" t="str">
        <f>'BAB November'!I21</f>
        <v>Umlage</v>
      </c>
      <c r="J23" s="223"/>
      <c r="K23" s="224"/>
      <c r="L23" s="225"/>
      <c r="M23" s="121">
        <f>'BAB November'!K21</f>
        <v>55600</v>
      </c>
      <c r="N23" s="122"/>
      <c r="O23" s="113"/>
    </row>
    <row r="24" spans="2:16" x14ac:dyDescent="0.25">
      <c r="J24" s="226"/>
      <c r="K24" s="226"/>
      <c r="L24" s="227"/>
      <c r="M24" s="125">
        <f>'BAB November'!K22</f>
        <v>384600</v>
      </c>
      <c r="N24" s="123">
        <f>N22</f>
        <v>348000</v>
      </c>
      <c r="O24" s="123">
        <f>O22</f>
        <v>176500</v>
      </c>
    </row>
    <row r="25" spans="2:16" x14ac:dyDescent="0.25">
      <c r="C25" s="126" t="s">
        <v>30</v>
      </c>
      <c r="D25" s="127"/>
      <c r="E25" s="127"/>
      <c r="F25" s="127"/>
      <c r="G25" s="127"/>
      <c r="H25" s="127">
        <f>'BAB November'!H23</f>
        <v>1100000</v>
      </c>
      <c r="I25" s="127"/>
      <c r="J25" s="228"/>
      <c r="K25" s="228"/>
      <c r="L25" s="229"/>
      <c r="M25" s="128">
        <f>'BAB November'!K23</f>
        <v>200000</v>
      </c>
      <c r="N25" s="129">
        <f>'BAB November'!L23</f>
        <v>2183000</v>
      </c>
      <c r="O25" s="130">
        <f>'BAB November'!M23</f>
        <v>2183000</v>
      </c>
    </row>
    <row r="26" spans="2:16" x14ac:dyDescent="0.25">
      <c r="C26" s="126"/>
      <c r="D26" s="131"/>
      <c r="E26" s="131"/>
      <c r="F26" s="131"/>
      <c r="G26" s="131"/>
      <c r="H26" s="126"/>
      <c r="I26" s="131"/>
      <c r="J26" s="230"/>
      <c r="K26" s="230"/>
      <c r="L26" s="231"/>
      <c r="M26" s="126"/>
      <c r="N26" s="126"/>
      <c r="O26" s="134"/>
    </row>
    <row r="27" spans="2:16" x14ac:dyDescent="0.25">
      <c r="C27" s="126" t="s">
        <v>86</v>
      </c>
      <c r="D27" s="126"/>
      <c r="E27" s="126"/>
      <c r="F27" s="126"/>
      <c r="G27" s="126"/>
      <c r="H27" s="135">
        <f>H22/H25</f>
        <v>0.16</v>
      </c>
      <c r="I27" s="126"/>
      <c r="J27" s="232"/>
      <c r="K27" s="232"/>
      <c r="L27" s="233"/>
      <c r="M27" s="135">
        <f>M24/M25</f>
        <v>1.923</v>
      </c>
      <c r="N27" s="135">
        <f>N24/N25</f>
        <v>0.15941365093907467</v>
      </c>
      <c r="O27" s="136">
        <f>O24/O25</f>
        <v>8.0852038479157118E-2</v>
      </c>
    </row>
    <row r="28" spans="2:16" x14ac:dyDescent="0.25">
      <c r="C28" s="140" t="s">
        <v>94</v>
      </c>
      <c r="D28" s="207"/>
      <c r="E28" s="207"/>
      <c r="F28" s="207"/>
      <c r="G28" s="207"/>
      <c r="H28" s="208"/>
      <c r="I28" s="207"/>
      <c r="J28" s="209"/>
      <c r="K28" s="209"/>
      <c r="L28" s="208"/>
      <c r="M28" s="208"/>
      <c r="N28" s="208"/>
      <c r="O28" s="210"/>
    </row>
    <row r="29" spans="2:16" x14ac:dyDescent="0.25">
      <c r="C29" s="140" t="s">
        <v>95</v>
      </c>
      <c r="D29" s="207"/>
      <c r="E29" s="207"/>
      <c r="F29" s="207"/>
      <c r="G29" s="207"/>
      <c r="H29" s="207"/>
      <c r="I29" s="207"/>
      <c r="J29" s="209"/>
      <c r="K29" s="209"/>
      <c r="L29" s="207"/>
      <c r="M29" s="207"/>
      <c r="N29" s="207"/>
      <c r="O29" s="211"/>
    </row>
    <row r="30" spans="2:16" x14ac:dyDescent="0.25">
      <c r="C30" s="140" t="s">
        <v>96</v>
      </c>
      <c r="D30" s="207"/>
      <c r="E30" s="207"/>
      <c r="F30" s="207"/>
      <c r="G30" s="207"/>
      <c r="H30" s="207"/>
      <c r="I30" s="207"/>
      <c r="J30" s="209"/>
      <c r="K30" s="209"/>
      <c r="L30" s="207"/>
      <c r="M30" s="207"/>
      <c r="N30" s="207"/>
      <c r="O30" s="211"/>
      <c r="P30" s="139"/>
    </row>
    <row r="31" spans="2:16" x14ac:dyDescent="0.25">
      <c r="C31" s="140"/>
      <c r="D31" s="207"/>
      <c r="E31" s="207"/>
      <c r="F31" s="207"/>
      <c r="G31" s="207"/>
      <c r="H31" s="208"/>
      <c r="I31" s="207"/>
      <c r="J31" s="212"/>
      <c r="K31" s="212"/>
      <c r="L31" s="208"/>
      <c r="M31" s="208"/>
      <c r="N31" s="208"/>
      <c r="O31" s="210"/>
    </row>
    <row r="32" spans="2:16" x14ac:dyDescent="0.25">
      <c r="J32" s="138"/>
      <c r="K32" s="138"/>
    </row>
    <row r="33" spans="3:15" x14ac:dyDescent="0.25">
      <c r="C33" s="141" t="s">
        <v>87</v>
      </c>
      <c r="D33" s="142"/>
      <c r="E33" s="142"/>
      <c r="F33" s="142"/>
      <c r="G33" s="142"/>
      <c r="H33" s="142"/>
      <c r="I33" s="142"/>
      <c r="J33" s="143"/>
      <c r="K33" s="143"/>
      <c r="L33" s="142"/>
      <c r="M33" s="142"/>
      <c r="N33" s="142"/>
      <c r="O33" s="234"/>
    </row>
    <row r="34" spans="3:15" x14ac:dyDescent="0.25">
      <c r="C34" s="142" t="s">
        <v>88</v>
      </c>
      <c r="D34" s="142"/>
      <c r="E34" s="142"/>
      <c r="F34" s="142"/>
      <c r="G34" s="142"/>
      <c r="H34" s="144">
        <v>0.16</v>
      </c>
      <c r="I34" s="142"/>
      <c r="J34" s="172">
        <v>520</v>
      </c>
      <c r="K34" s="172"/>
      <c r="L34" s="144">
        <v>4.835</v>
      </c>
      <c r="M34" s="144">
        <v>1.91</v>
      </c>
      <c r="N34" s="144">
        <v>0.161</v>
      </c>
      <c r="O34" s="235">
        <v>0.08</v>
      </c>
    </row>
    <row r="35" spans="3:15" x14ac:dyDescent="0.25">
      <c r="C35" s="142" t="s">
        <v>89</v>
      </c>
      <c r="D35" s="142"/>
      <c r="E35" s="142"/>
      <c r="F35" s="142"/>
      <c r="G35" s="142"/>
      <c r="H35" s="144">
        <v>0.15</v>
      </c>
      <c r="I35" s="142"/>
      <c r="J35" s="172">
        <v>500</v>
      </c>
      <c r="K35" s="172"/>
      <c r="L35" s="144">
        <v>4.82</v>
      </c>
      <c r="M35" s="144">
        <v>1.92</v>
      </c>
      <c r="N35" s="144">
        <v>0.158</v>
      </c>
      <c r="O35" s="235">
        <v>0.09</v>
      </c>
    </row>
    <row r="36" spans="3:15" x14ac:dyDescent="0.25">
      <c r="C36" s="142" t="s">
        <v>90</v>
      </c>
      <c r="D36" s="142"/>
      <c r="E36" s="142"/>
      <c r="F36" s="142"/>
      <c r="G36" s="142"/>
      <c r="H36" s="144">
        <v>0.15</v>
      </c>
      <c r="I36" s="142"/>
      <c r="J36" s="172">
        <v>530</v>
      </c>
      <c r="K36" s="172"/>
      <c r="L36" s="144">
        <v>4.8250000000000002</v>
      </c>
      <c r="M36" s="144">
        <v>1.93</v>
      </c>
      <c r="N36" s="144">
        <v>0.16200000000000001</v>
      </c>
      <c r="O36" s="235">
        <v>0.1</v>
      </c>
    </row>
    <row r="37" spans="3:15" x14ac:dyDescent="0.25">
      <c r="C37" s="142" t="s">
        <v>91</v>
      </c>
      <c r="D37" s="142"/>
      <c r="E37" s="142"/>
      <c r="F37" s="142"/>
      <c r="G37" s="142"/>
      <c r="H37" s="144">
        <v>0.14000000000000001</v>
      </c>
      <c r="I37" s="142"/>
      <c r="J37" s="172">
        <v>510</v>
      </c>
      <c r="K37" s="172"/>
      <c r="L37" s="144">
        <v>4.8099999999999996</v>
      </c>
      <c r="M37" s="144">
        <v>2.21</v>
      </c>
      <c r="N37" s="144">
        <v>0.159</v>
      </c>
      <c r="O37" s="235">
        <v>0.1</v>
      </c>
    </row>
    <row r="38" spans="3:15" x14ac:dyDescent="0.25">
      <c r="C38" s="142" t="s">
        <v>92</v>
      </c>
      <c r="D38" s="142"/>
      <c r="E38" s="142"/>
      <c r="F38" s="142"/>
      <c r="G38" s="142"/>
      <c r="H38" s="144">
        <v>0.14000000000000001</v>
      </c>
      <c r="I38" s="142"/>
      <c r="J38" s="172">
        <v>500</v>
      </c>
      <c r="K38" s="172"/>
      <c r="L38" s="144">
        <v>4.819</v>
      </c>
      <c r="M38" s="144">
        <v>2.1800000000000002</v>
      </c>
      <c r="N38" s="144">
        <v>0.16200000000000001</v>
      </c>
      <c r="O38" s="235">
        <v>0.11</v>
      </c>
    </row>
    <row r="39" spans="3:15" x14ac:dyDescent="0.25">
      <c r="C39" s="142" t="s">
        <v>93</v>
      </c>
      <c r="D39" s="142"/>
      <c r="E39" s="142"/>
      <c r="F39" s="142"/>
      <c r="G39" s="142"/>
      <c r="H39" s="144">
        <v>0.13</v>
      </c>
      <c r="I39" s="142"/>
      <c r="J39" s="172">
        <v>490</v>
      </c>
      <c r="K39" s="172"/>
      <c r="L39" s="144">
        <v>4.82</v>
      </c>
      <c r="M39" s="144">
        <v>2.2000000000000002</v>
      </c>
      <c r="N39" s="144">
        <v>0.16300000000000001</v>
      </c>
      <c r="O39" s="235">
        <v>0.12</v>
      </c>
    </row>
  </sheetData>
  <mergeCells count="13">
    <mergeCell ref="J5:K5"/>
    <mergeCell ref="J25:K25"/>
    <mergeCell ref="J27:K27"/>
    <mergeCell ref="J34:K34"/>
    <mergeCell ref="J35:K35"/>
    <mergeCell ref="J31:K31"/>
    <mergeCell ref="J36:K36"/>
    <mergeCell ref="J37:K37"/>
    <mergeCell ref="J38:K38"/>
    <mergeCell ref="J39:K39"/>
    <mergeCell ref="J28:K28"/>
    <mergeCell ref="J29:K29"/>
    <mergeCell ref="J30:K30"/>
  </mergeCells>
  <conditionalFormatting sqref="H31:O31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BAB November</vt:lpstr>
      <vt:lpstr>Angebotskalkulation</vt:lpstr>
      <vt:lpstr>Kostenfunktion &amp; Gewinnschwelle</vt:lpstr>
      <vt:lpstr>Maschinenarbeitsplatz</vt:lpstr>
      <vt:lpstr>Kostendeckung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Ulf</dc:creator>
  <cp:lastModifiedBy>HAU</cp:lastModifiedBy>
  <cp:lastPrinted>2014-01-15T19:31:28Z</cp:lastPrinted>
  <dcterms:created xsi:type="dcterms:W3CDTF">2002-12-05T16:47:24Z</dcterms:created>
  <dcterms:modified xsi:type="dcterms:W3CDTF">2017-04-17T15:05:22Z</dcterms:modified>
</cp:coreProperties>
</file>